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20730" windowHeight="9735"/>
  </bookViews>
  <sheets>
    <sheet name="cost_model_WT" sheetId="3" r:id="rId1"/>
    <sheet name="курсы" sheetId="2" state="hidden" r:id="rId2"/>
  </sheets>
  <definedNames>
    <definedName name="D0_9E_D0_BC_D1_81_D0_BA" localSheetId="1">курсы!$A$1:$F$93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cost_model_WT!$D$16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cost_model_WT!$B$1:$P$194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93" i="3" l="1"/>
  <c r="E23" i="3"/>
  <c r="F23" i="3"/>
  <c r="D23" i="3"/>
  <c r="J24" i="3"/>
  <c r="C15" i="3"/>
  <c r="L13" i="3"/>
  <c r="K13" i="3"/>
  <c r="J13" i="3"/>
  <c r="I13" i="3"/>
  <c r="H13" i="3"/>
  <c r="G13" i="3"/>
  <c r="F13" i="3"/>
  <c r="E13" i="3"/>
  <c r="D13" i="3"/>
  <c r="C11" i="3"/>
  <c r="G11" i="3" s="1"/>
  <c r="C9" i="3"/>
  <c r="C10" i="3" s="1"/>
  <c r="M8" i="3"/>
  <c r="D9" i="3" l="1"/>
  <c r="D10" i="3" s="1"/>
  <c r="E27" i="3"/>
  <c r="C31" i="3"/>
  <c r="C27" i="3"/>
  <c r="J28" i="3" s="1"/>
  <c r="D26" i="3"/>
  <c r="D27" i="3" s="1"/>
  <c r="E26" i="3"/>
  <c r="G23" i="3"/>
  <c r="H23" i="3" s="1"/>
  <c r="I23" i="3" s="1"/>
  <c r="L24" i="3"/>
  <c r="K11" i="3"/>
  <c r="E11" i="3"/>
  <c r="L11" i="3"/>
  <c r="H11" i="3"/>
  <c r="D11" i="3"/>
  <c r="J11" i="3"/>
  <c r="F11" i="3"/>
  <c r="I11" i="3"/>
  <c r="E9" i="3" l="1"/>
  <c r="E10" i="3" s="1"/>
  <c r="C26" i="3"/>
  <c r="F26" i="3" s="1"/>
  <c r="G26" i="3" s="1"/>
  <c r="C32" i="3"/>
  <c r="D31" i="3"/>
  <c r="E31" i="3" s="1"/>
  <c r="F31" i="3" s="1"/>
  <c r="G31" i="3" s="1"/>
  <c r="H31" i="3" s="1"/>
  <c r="J31" i="3" s="1"/>
  <c r="L31" i="3" s="1"/>
  <c r="P125" i="3"/>
  <c r="O125" i="3"/>
  <c r="F27" i="3"/>
  <c r="G27" i="3" s="1"/>
  <c r="H27" i="3" s="1"/>
  <c r="I27" i="3" s="1"/>
  <c r="L28" i="3"/>
  <c r="F9" i="3" l="1"/>
  <c r="F10" i="3" s="1"/>
  <c r="J33" i="3"/>
  <c r="L33" i="3" s="1"/>
  <c r="D32" i="3"/>
  <c r="E32" i="3" s="1"/>
  <c r="F32" i="3" s="1"/>
  <c r="G32" i="3" s="1"/>
  <c r="H32" i="3" s="1"/>
  <c r="J23" i="3"/>
  <c r="O176" i="3"/>
  <c r="P142" i="3"/>
  <c r="O91" i="3"/>
  <c r="P74" i="3"/>
  <c r="O57" i="3"/>
  <c r="O40" i="3"/>
  <c r="P159" i="3"/>
  <c r="O142" i="3"/>
  <c r="O74" i="3"/>
  <c r="O159" i="3"/>
  <c r="P108" i="3"/>
  <c r="P176" i="3"/>
  <c r="O108" i="3"/>
  <c r="P91" i="3"/>
  <c r="P57" i="3"/>
  <c r="P40" i="3"/>
  <c r="G9" i="3" l="1"/>
  <c r="G10" i="3" s="1"/>
  <c r="L23" i="3"/>
  <c r="L25" i="3" s="1"/>
  <c r="J25" i="3"/>
  <c r="I32" i="3"/>
  <c r="J32" i="3" s="1"/>
  <c r="L32" i="3" s="1"/>
  <c r="K23" i="3"/>
  <c r="J27" i="3"/>
  <c r="L27" i="3" s="1"/>
  <c r="I29" i="3"/>
  <c r="C36" i="3"/>
  <c r="L38" i="3"/>
  <c r="J38" i="3"/>
  <c r="H9" i="3" l="1"/>
  <c r="H10" i="3" s="1"/>
  <c r="H26" i="3"/>
  <c r="J26" i="3" s="1"/>
  <c r="J29" i="3" s="1"/>
  <c r="J30" i="3" s="1"/>
  <c r="G29" i="3"/>
  <c r="P23" i="3"/>
  <c r="O23" i="3"/>
  <c r="H29" i="3"/>
  <c r="G34" i="3"/>
  <c r="I9" i="3" l="1"/>
  <c r="I10" i="3" s="1"/>
  <c r="G36" i="3"/>
  <c r="H34" i="3"/>
  <c r="H36" i="3" s="1"/>
  <c r="I34" i="3"/>
  <c r="I36" i="3" s="1"/>
  <c r="L26" i="3"/>
  <c r="L29" i="3" s="1"/>
  <c r="J9" i="3" l="1"/>
  <c r="J10" i="3" s="1"/>
  <c r="M29" i="3"/>
  <c r="L30" i="3"/>
  <c r="M23" i="3"/>
  <c r="K9" i="3" l="1"/>
  <c r="K10" i="3" s="1"/>
  <c r="J34" i="3"/>
  <c r="J35" i="3" s="1"/>
  <c r="L34" i="3"/>
  <c r="L35" i="3" s="1"/>
  <c r="K27" i="3"/>
  <c r="L9" i="3" l="1"/>
  <c r="L10" i="3" s="1"/>
  <c r="M34" i="3"/>
  <c r="K29" i="3"/>
  <c r="K34" i="3"/>
  <c r="J36" i="3"/>
  <c r="J37" i="3" s="1"/>
  <c r="N23" i="3" l="1"/>
  <c r="D14" i="3"/>
  <c r="C40" i="3" s="1"/>
  <c r="K36" i="3"/>
  <c r="N34" i="3"/>
  <c r="N29" i="3"/>
  <c r="D40" i="3" l="1"/>
  <c r="E40" i="3"/>
  <c r="D15" i="3"/>
  <c r="C48" i="3" s="1"/>
  <c r="C44" i="3" l="1"/>
  <c r="E44" i="3" s="1"/>
  <c r="F44" i="3" s="1"/>
  <c r="F40" i="3"/>
  <c r="G40" i="3" s="1"/>
  <c r="H40" i="3" s="1"/>
  <c r="J41" i="3"/>
  <c r="L41" i="3" s="1"/>
  <c r="C43" i="3" l="1"/>
  <c r="D43" i="3" s="1"/>
  <c r="D44" i="3" s="1"/>
  <c r="J45" i="3"/>
  <c r="L45" i="3" s="1"/>
  <c r="E48" i="3"/>
  <c r="F48" i="3" s="1"/>
  <c r="D48" i="3"/>
  <c r="E43" i="3"/>
  <c r="C49" i="3"/>
  <c r="I40" i="3"/>
  <c r="J40" i="3" s="1"/>
  <c r="L40" i="3" l="1"/>
  <c r="L42" i="3" s="1"/>
  <c r="J42" i="3"/>
  <c r="F43" i="3"/>
  <c r="G43" i="3" s="1"/>
  <c r="G44" i="3"/>
  <c r="H44" i="3" s="1"/>
  <c r="I44" i="3" s="1"/>
  <c r="G48" i="3"/>
  <c r="H48" i="3" s="1"/>
  <c r="J48" i="3" s="1"/>
  <c r="L48" i="3" s="1"/>
  <c r="D49" i="3"/>
  <c r="E49" i="3"/>
  <c r="F49" i="3" s="1"/>
  <c r="C53" i="3"/>
  <c r="J50" i="3"/>
  <c r="K40" i="3"/>
  <c r="G49" i="3" l="1"/>
  <c r="G51" i="3" s="1"/>
  <c r="G46" i="3"/>
  <c r="I46" i="3"/>
  <c r="J44" i="3"/>
  <c r="L44" i="3" s="1"/>
  <c r="H43" i="3"/>
  <c r="J43" i="3" s="1"/>
  <c r="L43" i="3" s="1"/>
  <c r="L50" i="3"/>
  <c r="L55" i="3" s="1"/>
  <c r="J55" i="3"/>
  <c r="M40" i="3"/>
  <c r="G53" i="3" l="1"/>
  <c r="H49" i="3"/>
  <c r="I49" i="3" s="1"/>
  <c r="I51" i="3" s="1"/>
  <c r="I53" i="3" s="1"/>
  <c r="H46" i="3"/>
  <c r="J46" i="3"/>
  <c r="L46" i="3"/>
  <c r="L47" i="3" s="1"/>
  <c r="K44" i="3"/>
  <c r="M44" i="3"/>
  <c r="K46" i="3" l="1"/>
  <c r="J47" i="3"/>
  <c r="M46" i="3"/>
  <c r="H51" i="3"/>
  <c r="H53" i="3" s="1"/>
  <c r="J49" i="3"/>
  <c r="L49" i="3" s="1"/>
  <c r="L51" i="3" s="1"/>
  <c r="L52" i="3" s="1"/>
  <c r="J51" i="3" l="1"/>
  <c r="L53" i="3"/>
  <c r="L54" i="3" s="1"/>
  <c r="M51" i="3"/>
  <c r="M53" i="3" s="1"/>
  <c r="J53" i="3" l="1"/>
  <c r="N40" i="3" s="1"/>
  <c r="J52" i="3"/>
  <c r="E14" i="3"/>
  <c r="C57" i="3" s="1"/>
  <c r="K51" i="3"/>
  <c r="K53" i="3" s="1"/>
  <c r="N51" i="3"/>
  <c r="E15" i="3"/>
  <c r="C61" i="3" s="1"/>
  <c r="E61" i="3" s="1"/>
  <c r="E57" i="3" l="1"/>
  <c r="D57" i="3"/>
  <c r="N46" i="3"/>
  <c r="J54" i="3"/>
  <c r="F57" i="3"/>
  <c r="C65" i="3"/>
  <c r="E65" i="3" s="1"/>
  <c r="J58" i="3"/>
  <c r="L58" i="3" s="1"/>
  <c r="J62" i="3"/>
  <c r="L62" i="3" s="1"/>
  <c r="D61" i="3"/>
  <c r="C60" i="3"/>
  <c r="F61" i="3"/>
  <c r="G57" i="3" l="1"/>
  <c r="H57" i="3" s="1"/>
  <c r="I57" i="3" s="1"/>
  <c r="J57" i="3" s="1"/>
  <c r="D65" i="3"/>
  <c r="C66" i="3"/>
  <c r="E66" i="3" s="1"/>
  <c r="F66" i="3" s="1"/>
  <c r="F65" i="3"/>
  <c r="G61" i="3"/>
  <c r="H61" i="3" s="1"/>
  <c r="I61" i="3" s="1"/>
  <c r="I63" i="3" s="1"/>
  <c r="D60" i="3"/>
  <c r="E60" i="3"/>
  <c r="F60" i="3" s="1"/>
  <c r="L57" i="3" l="1"/>
  <c r="L59" i="3" s="1"/>
  <c r="J59" i="3"/>
  <c r="J67" i="3"/>
  <c r="L67" i="3" s="1"/>
  <c r="L72" i="3" s="1"/>
  <c r="G65" i="3"/>
  <c r="H65" i="3" s="1"/>
  <c r="J65" i="3" s="1"/>
  <c r="L65" i="3" s="1"/>
  <c r="D66" i="3"/>
  <c r="G66" i="3" s="1"/>
  <c r="C70" i="3"/>
  <c r="J72" i="3"/>
  <c r="G60" i="3"/>
  <c r="G63" i="3" s="1"/>
  <c r="J61" i="3"/>
  <c r="L61" i="3" s="1"/>
  <c r="K57" i="3"/>
  <c r="H66" i="3" l="1"/>
  <c r="G68" i="3"/>
  <c r="G70" i="3" s="1"/>
  <c r="H60" i="3"/>
  <c r="H63" i="3" s="1"/>
  <c r="K61" i="3"/>
  <c r="M61" i="3"/>
  <c r="M57" i="3"/>
  <c r="H68" i="3" l="1"/>
  <c r="H70" i="3" s="1"/>
  <c r="I66" i="3"/>
  <c r="I68" i="3" s="1"/>
  <c r="I70" i="3" s="1"/>
  <c r="J60" i="3"/>
  <c r="L60" i="3" s="1"/>
  <c r="L63" i="3" s="1"/>
  <c r="L64" i="3" s="1"/>
  <c r="J66" i="3" l="1"/>
  <c r="L66" i="3" s="1"/>
  <c r="L68" i="3" s="1"/>
  <c r="L69" i="3" s="1"/>
  <c r="J63" i="3"/>
  <c r="J64" i="3" s="1"/>
  <c r="M63" i="3"/>
  <c r="L70" i="3" l="1"/>
  <c r="L71" i="3" s="1"/>
  <c r="M68" i="3"/>
  <c r="M70" i="3" s="1"/>
  <c r="J68" i="3"/>
  <c r="J69" i="3" s="1"/>
  <c r="K63" i="3"/>
  <c r="K68" i="3" l="1"/>
  <c r="K70" i="3" s="1"/>
  <c r="J70" i="3"/>
  <c r="N68" i="3" l="1"/>
  <c r="J71" i="3"/>
  <c r="F14" i="3"/>
  <c r="C74" i="3" s="1"/>
  <c r="N63" i="3"/>
  <c r="N57" i="3"/>
  <c r="F15" i="3"/>
  <c r="C78" i="3" s="1"/>
  <c r="D74" i="3" l="1"/>
  <c r="E74" i="3"/>
  <c r="C82" i="3"/>
  <c r="C83" i="3" s="1"/>
  <c r="D78" i="3"/>
  <c r="E78" i="3"/>
  <c r="F78" i="3" s="1"/>
  <c r="C77" i="3"/>
  <c r="J79" i="3"/>
  <c r="L79" i="3" s="1"/>
  <c r="F74" i="3" l="1"/>
  <c r="G74" i="3" s="1"/>
  <c r="H74" i="3" s="1"/>
  <c r="I74" i="3" s="1"/>
  <c r="J74" i="3" s="1"/>
  <c r="J76" i="3" s="1"/>
  <c r="J75" i="3"/>
  <c r="L75" i="3" s="1"/>
  <c r="D82" i="3"/>
  <c r="E82" i="3"/>
  <c r="F82" i="3" s="1"/>
  <c r="G78" i="3"/>
  <c r="H78" i="3" s="1"/>
  <c r="I78" i="3" s="1"/>
  <c r="I80" i="3" s="1"/>
  <c r="E83" i="3"/>
  <c r="F83" i="3" s="1"/>
  <c r="D83" i="3"/>
  <c r="E77" i="3"/>
  <c r="F77" i="3" s="1"/>
  <c r="D77" i="3"/>
  <c r="J84" i="3"/>
  <c r="C87" i="3"/>
  <c r="L74" i="3" l="1"/>
  <c r="L76" i="3" s="1"/>
  <c r="K74" i="3"/>
  <c r="G83" i="3"/>
  <c r="H83" i="3" s="1"/>
  <c r="I83" i="3" s="1"/>
  <c r="I85" i="3" s="1"/>
  <c r="I87" i="3" s="1"/>
  <c r="G82" i="3"/>
  <c r="H82" i="3" s="1"/>
  <c r="J82" i="3" s="1"/>
  <c r="L82" i="3" s="1"/>
  <c r="G77" i="3"/>
  <c r="G80" i="3" s="1"/>
  <c r="L84" i="3"/>
  <c r="L89" i="3" s="1"/>
  <c r="J89" i="3"/>
  <c r="J78" i="3"/>
  <c r="L78" i="3" s="1"/>
  <c r="M74" i="3" l="1"/>
  <c r="G85" i="3"/>
  <c r="G87" i="3" s="1"/>
  <c r="H77" i="3"/>
  <c r="J77" i="3" s="1"/>
  <c r="L77" i="3" s="1"/>
  <c r="L80" i="3" s="1"/>
  <c r="L81" i="3" s="1"/>
  <c r="H85" i="3"/>
  <c r="J83" i="3"/>
  <c r="L83" i="3" s="1"/>
  <c r="K78" i="3"/>
  <c r="M78" i="3"/>
  <c r="H80" i="3" l="1"/>
  <c r="H87" i="3" s="1"/>
  <c r="J85" i="3"/>
  <c r="L85" i="3"/>
  <c r="J80" i="3"/>
  <c r="J81" i="3" s="1"/>
  <c r="M85" i="3" l="1"/>
  <c r="L86" i="3"/>
  <c r="K85" i="3"/>
  <c r="J86" i="3"/>
  <c r="J87" i="3"/>
  <c r="L87" i="3"/>
  <c r="L88" i="3" s="1"/>
  <c r="M80" i="3"/>
  <c r="K80" i="3"/>
  <c r="M87" i="3" l="1"/>
  <c r="N85" i="3"/>
  <c r="J88" i="3"/>
  <c r="K87" i="3"/>
  <c r="N74" i="3"/>
  <c r="G14" i="3"/>
  <c r="C91" i="3" s="1"/>
  <c r="N80" i="3"/>
  <c r="E91" i="3" l="1"/>
  <c r="D91" i="3"/>
  <c r="G15" i="3"/>
  <c r="C99" i="3" s="1"/>
  <c r="J92" i="3" l="1"/>
  <c r="L92" i="3" s="1"/>
  <c r="F91" i="3"/>
  <c r="G91" i="3" s="1"/>
  <c r="H91" i="3" s="1"/>
  <c r="D99" i="3"/>
  <c r="C100" i="3"/>
  <c r="E100" i="3" s="1"/>
  <c r="C95" i="3"/>
  <c r="J96" i="3" s="1"/>
  <c r="L96" i="3" s="1"/>
  <c r="E99" i="3"/>
  <c r="F99" i="3" s="1"/>
  <c r="G99" i="3" l="1"/>
  <c r="H99" i="3" s="1"/>
  <c r="J99" i="3" s="1"/>
  <c r="L99" i="3" s="1"/>
  <c r="D100" i="3"/>
  <c r="E95" i="3"/>
  <c r="F95" i="3" s="1"/>
  <c r="D95" i="3"/>
  <c r="C94" i="3"/>
  <c r="E94" i="3" s="1"/>
  <c r="F94" i="3" s="1"/>
  <c r="F100" i="3"/>
  <c r="G100" i="3" s="1"/>
  <c r="H100" i="3" s="1"/>
  <c r="J101" i="3"/>
  <c r="L101" i="3" s="1"/>
  <c r="L106" i="3" s="1"/>
  <c r="I91" i="3"/>
  <c r="J91" i="3" s="1"/>
  <c r="L91" i="3" l="1"/>
  <c r="L93" i="3" s="1"/>
  <c r="J93" i="3"/>
  <c r="D94" i="3"/>
  <c r="G94" i="3" s="1"/>
  <c r="C104" i="3"/>
  <c r="G95" i="3"/>
  <c r="H95" i="3" s="1"/>
  <c r="I95" i="3" s="1"/>
  <c r="I97" i="3" s="1"/>
  <c r="J106" i="3"/>
  <c r="G102" i="3"/>
  <c r="I100" i="3"/>
  <c r="I102" i="3" s="1"/>
  <c r="H102" i="3"/>
  <c r="K91" i="3"/>
  <c r="I104" i="3" l="1"/>
  <c r="J95" i="3"/>
  <c r="L95" i="3" s="1"/>
  <c r="M95" i="3" s="1"/>
  <c r="G97" i="3"/>
  <c r="G104" i="3" s="1"/>
  <c r="H94" i="3"/>
  <c r="J94" i="3" s="1"/>
  <c r="L94" i="3" s="1"/>
  <c r="M91" i="3"/>
  <c r="J100" i="3"/>
  <c r="K95" i="3" l="1"/>
  <c r="L97" i="3"/>
  <c r="L98" i="3" s="1"/>
  <c r="J97" i="3"/>
  <c r="H97" i="3"/>
  <c r="H104" i="3" s="1"/>
  <c r="L100" i="3"/>
  <c r="L102" i="3" s="1"/>
  <c r="L103" i="3" s="1"/>
  <c r="J102" i="3"/>
  <c r="J103" i="3" s="1"/>
  <c r="K97" i="3" l="1"/>
  <c r="J98" i="3"/>
  <c r="L104" i="3"/>
  <c r="L105" i="3" s="1"/>
  <c r="M97" i="3"/>
  <c r="M102" i="3"/>
  <c r="K102" i="3"/>
  <c r="J104" i="3"/>
  <c r="J105" i="3" s="1"/>
  <c r="K104" i="3" l="1"/>
  <c r="M104" i="3"/>
  <c r="H14" i="3"/>
  <c r="C108" i="3" s="1"/>
  <c r="N102" i="3"/>
  <c r="N91" i="3"/>
  <c r="N97" i="3"/>
  <c r="D108" i="3" l="1"/>
  <c r="E108" i="3"/>
  <c r="H15" i="3"/>
  <c r="C116" i="3" s="1"/>
  <c r="C112" i="3" l="1"/>
  <c r="F108" i="3"/>
  <c r="G108" i="3" s="1"/>
  <c r="J109" i="3"/>
  <c r="L109" i="3" s="1"/>
  <c r="E116" i="3" l="1"/>
  <c r="F116" i="3" s="1"/>
  <c r="D116" i="3"/>
  <c r="D112" i="3"/>
  <c r="E112" i="3"/>
  <c r="F112" i="3" s="1"/>
  <c r="H108" i="3"/>
  <c r="I108" i="3" s="1"/>
  <c r="C117" i="3"/>
  <c r="C111" i="3"/>
  <c r="J113" i="3"/>
  <c r="L113" i="3" s="1"/>
  <c r="G112" i="3" l="1"/>
  <c r="H112" i="3" s="1"/>
  <c r="I112" i="3" s="1"/>
  <c r="I114" i="3" s="1"/>
  <c r="G116" i="3"/>
  <c r="H116" i="3" s="1"/>
  <c r="J116" i="3" s="1"/>
  <c r="L116" i="3" s="1"/>
  <c r="E111" i="3"/>
  <c r="F111" i="3" s="1"/>
  <c r="D111" i="3"/>
  <c r="D117" i="3"/>
  <c r="E117" i="3"/>
  <c r="F117" i="3" s="1"/>
  <c r="J108" i="3"/>
  <c r="J118" i="3"/>
  <c r="L118" i="3" s="1"/>
  <c r="C121" i="3"/>
  <c r="L108" i="3" l="1"/>
  <c r="L110" i="3" s="1"/>
  <c r="J110" i="3"/>
  <c r="G117" i="3"/>
  <c r="G119" i="3" s="1"/>
  <c r="G111" i="3"/>
  <c r="G114" i="3" s="1"/>
  <c r="J112" i="3"/>
  <c r="L112" i="3" s="1"/>
  <c r="L123" i="3"/>
  <c r="J123" i="3"/>
  <c r="K108" i="3"/>
  <c r="H117" i="3" l="1"/>
  <c r="H119" i="3" s="1"/>
  <c r="G121" i="3"/>
  <c r="H111" i="3"/>
  <c r="H114" i="3" s="1"/>
  <c r="M112" i="3"/>
  <c r="K112" i="3"/>
  <c r="M108" i="3"/>
  <c r="H121" i="3" l="1"/>
  <c r="I117" i="3"/>
  <c r="I119" i="3" s="1"/>
  <c r="I121" i="3" s="1"/>
  <c r="J111" i="3"/>
  <c r="L111" i="3" s="1"/>
  <c r="L114" i="3" s="1"/>
  <c r="L115" i="3" s="1"/>
  <c r="J117" i="3" l="1"/>
  <c r="L117" i="3" s="1"/>
  <c r="L119" i="3" s="1"/>
  <c r="L120" i="3" s="1"/>
  <c r="J114" i="3"/>
  <c r="J115" i="3" s="1"/>
  <c r="M114" i="3"/>
  <c r="J119" i="3" l="1"/>
  <c r="K114" i="3"/>
  <c r="M119" i="3"/>
  <c r="M121" i="3" s="1"/>
  <c r="L121" i="3"/>
  <c r="L122" i="3" s="1"/>
  <c r="J121" i="3" l="1"/>
  <c r="N114" i="3" s="1"/>
  <c r="J120" i="3"/>
  <c r="K119" i="3"/>
  <c r="K121" i="3" s="1"/>
  <c r="N108" i="3" l="1"/>
  <c r="J122" i="3"/>
  <c r="N119" i="3"/>
  <c r="I14" i="3"/>
  <c r="I15" i="3"/>
  <c r="C133" i="3" l="1"/>
  <c r="E133" i="3" s="1"/>
  <c r="F133" i="3" s="1"/>
  <c r="C125" i="3"/>
  <c r="J126" i="3"/>
  <c r="L126" i="3" s="1"/>
  <c r="D133" i="3"/>
  <c r="C134" i="3"/>
  <c r="C129" i="3"/>
  <c r="J130" i="3" s="1"/>
  <c r="L130" i="3" s="1"/>
  <c r="G133" i="3" l="1"/>
  <c r="H133" i="3" s="1"/>
  <c r="J133" i="3" s="1"/>
  <c r="L133" i="3" s="1"/>
  <c r="E125" i="3"/>
  <c r="F125" i="3" s="1"/>
  <c r="D125" i="3"/>
  <c r="D134" i="3" s="1"/>
  <c r="C128" i="3"/>
  <c r="E128" i="3" s="1"/>
  <c r="F128" i="3" s="1"/>
  <c r="E129" i="3"/>
  <c r="F129" i="3" s="1"/>
  <c r="J135" i="3"/>
  <c r="L135" i="3" s="1"/>
  <c r="L140" i="3" s="1"/>
  <c r="D129" i="3"/>
  <c r="G125" i="3" l="1"/>
  <c r="H125" i="3" s="1"/>
  <c r="I125" i="3" s="1"/>
  <c r="J125" i="3" s="1"/>
  <c r="E134" i="3"/>
  <c r="F134" i="3" s="1"/>
  <c r="G134" i="3" s="1"/>
  <c r="J140" i="3"/>
  <c r="C138" i="3"/>
  <c r="G129" i="3"/>
  <c r="H129" i="3" s="1"/>
  <c r="I129" i="3" s="1"/>
  <c r="I131" i="3" s="1"/>
  <c r="D128" i="3"/>
  <c r="G128" i="3" s="1"/>
  <c r="G136" i="3" l="1"/>
  <c r="H134" i="3"/>
  <c r="H136" i="3" s="1"/>
  <c r="J127" i="3"/>
  <c r="K125" i="3"/>
  <c r="L125" i="3"/>
  <c r="J129" i="3"/>
  <c r="L129" i="3" s="1"/>
  <c r="M129" i="3" s="1"/>
  <c r="G131" i="3"/>
  <c r="G138" i="3" s="1"/>
  <c r="I134" i="3"/>
  <c r="I136" i="3" s="1"/>
  <c r="I138" i="3" s="1"/>
  <c r="H128" i="3"/>
  <c r="H131" i="3" s="1"/>
  <c r="H138" i="3" l="1"/>
  <c r="L127" i="3"/>
  <c r="M125" i="3"/>
  <c r="K129" i="3"/>
  <c r="J134" i="3"/>
  <c r="L134" i="3" s="1"/>
  <c r="L136" i="3" s="1"/>
  <c r="L137" i="3" s="1"/>
  <c r="J128" i="3"/>
  <c r="L128" i="3" s="1"/>
  <c r="L131" i="3" s="1"/>
  <c r="L132" i="3" s="1"/>
  <c r="J131" i="3" l="1"/>
  <c r="J132" i="3" s="1"/>
  <c r="J136" i="3"/>
  <c r="J137" i="3" s="1"/>
  <c r="L138" i="3"/>
  <c r="L139" i="3" s="1"/>
  <c r="M136" i="3"/>
  <c r="M131" i="3"/>
  <c r="K131" i="3" l="1"/>
  <c r="J138" i="3"/>
  <c r="K136" i="3"/>
  <c r="M138" i="3"/>
  <c r="J14" i="3" l="1"/>
  <c r="C142" i="3" s="1"/>
  <c r="J139" i="3"/>
  <c r="N136" i="3"/>
  <c r="K138" i="3"/>
  <c r="N131" i="3"/>
  <c r="N125" i="3"/>
  <c r="J15" i="3"/>
  <c r="C150" i="3" s="1"/>
  <c r="D142" i="3" l="1"/>
  <c r="E142" i="3"/>
  <c r="E150" i="3"/>
  <c r="F150" i="3" s="1"/>
  <c r="D150" i="3"/>
  <c r="J143" i="3"/>
  <c r="L143" i="3" s="1"/>
  <c r="F142" i="3"/>
  <c r="G142" i="3" s="1"/>
  <c r="H142" i="3" s="1"/>
  <c r="C151" i="3"/>
  <c r="C146" i="3"/>
  <c r="G150" i="3" l="1"/>
  <c r="H150" i="3" s="1"/>
  <c r="J150" i="3" s="1"/>
  <c r="L150" i="3" s="1"/>
  <c r="D146" i="3"/>
  <c r="E146" i="3"/>
  <c r="F146" i="3" s="1"/>
  <c r="D151" i="3"/>
  <c r="E151" i="3"/>
  <c r="F151" i="3" s="1"/>
  <c r="I142" i="3"/>
  <c r="J142" i="3" s="1"/>
  <c r="J147" i="3"/>
  <c r="L147" i="3" s="1"/>
  <c r="C145" i="3"/>
  <c r="J152" i="3"/>
  <c r="L152" i="3" s="1"/>
  <c r="L142" i="3" l="1"/>
  <c r="L144" i="3" s="1"/>
  <c r="J144" i="3"/>
  <c r="G146" i="3"/>
  <c r="H146" i="3" s="1"/>
  <c r="I146" i="3" s="1"/>
  <c r="I148" i="3" s="1"/>
  <c r="G151" i="3"/>
  <c r="G153" i="3" s="1"/>
  <c r="E145" i="3"/>
  <c r="F145" i="3" s="1"/>
  <c r="D145" i="3"/>
  <c r="L157" i="3"/>
  <c r="K142" i="3"/>
  <c r="J157" i="3"/>
  <c r="C155" i="3"/>
  <c r="H151" i="3" l="1"/>
  <c r="H153" i="3" s="1"/>
  <c r="G145" i="3"/>
  <c r="G148" i="3" s="1"/>
  <c r="G155" i="3" s="1"/>
  <c r="J146" i="3"/>
  <c r="L146" i="3" s="1"/>
  <c r="M142" i="3"/>
  <c r="I151" i="3"/>
  <c r="I153" i="3" s="1"/>
  <c r="I155" i="3" s="1"/>
  <c r="H145" i="3" l="1"/>
  <c r="J145" i="3" s="1"/>
  <c r="L145" i="3" s="1"/>
  <c r="L148" i="3" s="1"/>
  <c r="L149" i="3" s="1"/>
  <c r="K146" i="3"/>
  <c r="J151" i="3"/>
  <c r="J148" i="3" l="1"/>
  <c r="J149" i="3" s="1"/>
  <c r="H148" i="3"/>
  <c r="H155" i="3" s="1"/>
  <c r="L151" i="3"/>
  <c r="L153" i="3" s="1"/>
  <c r="L154" i="3" s="1"/>
  <c r="M146" i="3"/>
  <c r="J153" i="3"/>
  <c r="J154" i="3" s="1"/>
  <c r="K148" i="3" l="1"/>
  <c r="L155" i="3"/>
  <c r="L156" i="3" s="1"/>
  <c r="M148" i="3"/>
  <c r="M153" i="3"/>
  <c r="K153" i="3"/>
  <c r="J155" i="3"/>
  <c r="J156" i="3" s="1"/>
  <c r="K155" i="3" l="1"/>
  <c r="K14" i="3"/>
  <c r="C159" i="3" s="1"/>
  <c r="M155" i="3"/>
  <c r="N142" i="3"/>
  <c r="N148" i="3"/>
  <c r="N153" i="3"/>
  <c r="E159" i="3" l="1"/>
  <c r="D159" i="3"/>
  <c r="K15" i="3"/>
  <c r="C167" i="3" s="1"/>
  <c r="E167" i="3" l="1"/>
  <c r="F167" i="3" s="1"/>
  <c r="D167" i="3"/>
  <c r="C163" i="3"/>
  <c r="C168" i="3"/>
  <c r="J160" i="3"/>
  <c r="L160" i="3" s="1"/>
  <c r="F159" i="3"/>
  <c r="G159" i="3" s="1"/>
  <c r="H159" i="3" s="1"/>
  <c r="G167" i="3" l="1"/>
  <c r="H167" i="3" s="1"/>
  <c r="J167" i="3" s="1"/>
  <c r="L167" i="3" s="1"/>
  <c r="D163" i="3"/>
  <c r="E163" i="3"/>
  <c r="F163" i="3" s="1"/>
  <c r="D168" i="3"/>
  <c r="E168" i="3"/>
  <c r="F168" i="3" s="1"/>
  <c r="I159" i="3"/>
  <c r="J159" i="3" s="1"/>
  <c r="J164" i="3"/>
  <c r="L164" i="3" s="1"/>
  <c r="C162" i="3"/>
  <c r="J169" i="3"/>
  <c r="L169" i="3" s="1"/>
  <c r="L159" i="3" l="1"/>
  <c r="L161" i="3" s="1"/>
  <c r="J161" i="3"/>
  <c r="G163" i="3"/>
  <c r="H163" i="3" s="1"/>
  <c r="I163" i="3" s="1"/>
  <c r="I165" i="3" s="1"/>
  <c r="G168" i="3"/>
  <c r="G170" i="3" s="1"/>
  <c r="E162" i="3"/>
  <c r="F162" i="3" s="1"/>
  <c r="D162" i="3"/>
  <c r="L174" i="3"/>
  <c r="J174" i="3"/>
  <c r="C172" i="3"/>
  <c r="K159" i="3"/>
  <c r="H168" i="3" l="1"/>
  <c r="H170" i="3" s="1"/>
  <c r="G162" i="3"/>
  <c r="G165" i="3" s="1"/>
  <c r="G172" i="3" s="1"/>
  <c r="J163" i="3"/>
  <c r="L163" i="3" s="1"/>
  <c r="M159" i="3"/>
  <c r="I168" i="3"/>
  <c r="I170" i="3" s="1"/>
  <c r="I172" i="3" s="1"/>
  <c r="H162" i="3" l="1"/>
  <c r="J162" i="3" s="1"/>
  <c r="L162" i="3" s="1"/>
  <c r="K163" i="3"/>
  <c r="M163" i="3"/>
  <c r="J168" i="3"/>
  <c r="H165" i="3" l="1"/>
  <c r="H172" i="3" s="1"/>
  <c r="J165" i="3"/>
  <c r="J166" i="3" s="1"/>
  <c r="L168" i="3"/>
  <c r="L170" i="3" s="1"/>
  <c r="L171" i="3" s="1"/>
  <c r="L165" i="3"/>
  <c r="L166" i="3" s="1"/>
  <c r="J170" i="3"/>
  <c r="J171" i="3" s="1"/>
  <c r="K165" i="3" l="1"/>
  <c r="M165" i="3"/>
  <c r="L172" i="3"/>
  <c r="L173" i="3" s="1"/>
  <c r="M170" i="3"/>
  <c r="K170" i="3"/>
  <c r="J172" i="3"/>
  <c r="J173" i="3" s="1"/>
  <c r="K172" i="3" l="1"/>
  <c r="M172" i="3"/>
  <c r="N170" i="3"/>
  <c r="L14" i="3"/>
  <c r="C176" i="3" s="1"/>
  <c r="N159" i="3"/>
  <c r="N165" i="3"/>
  <c r="E176" i="3" l="1"/>
  <c r="D176" i="3"/>
  <c r="L15" i="3"/>
  <c r="C184" i="3" s="1"/>
  <c r="F176" i="3" l="1"/>
  <c r="G176" i="3" s="1"/>
  <c r="H176" i="3" s="1"/>
  <c r="I176" i="3" s="1"/>
  <c r="J176" i="3" s="1"/>
  <c r="J177" i="3"/>
  <c r="L177" i="3" s="1"/>
  <c r="C180" i="3"/>
  <c r="L176" i="3" l="1"/>
  <c r="L178" i="3" s="1"/>
  <c r="J178" i="3"/>
  <c r="E184" i="3"/>
  <c r="F184" i="3" s="1"/>
  <c r="D184" i="3"/>
  <c r="D180" i="3"/>
  <c r="E180" i="3"/>
  <c r="F180" i="3" s="1"/>
  <c r="G180" i="3" s="1"/>
  <c r="H180" i="3" s="1"/>
  <c r="K176" i="3"/>
  <c r="J181" i="3"/>
  <c r="L181" i="3" s="1"/>
  <c r="C179" i="3"/>
  <c r="C185" i="3"/>
  <c r="G184" i="3" l="1"/>
  <c r="H184" i="3" s="1"/>
  <c r="J184" i="3" s="1"/>
  <c r="L184" i="3" s="1"/>
  <c r="D185" i="3"/>
  <c r="E185" i="3"/>
  <c r="F185" i="3" s="1"/>
  <c r="E179" i="3"/>
  <c r="F179" i="3" s="1"/>
  <c r="D179" i="3"/>
  <c r="M176" i="3"/>
  <c r="I180" i="3"/>
  <c r="I182" i="3" s="1"/>
  <c r="C189" i="3"/>
  <c r="J186" i="3"/>
  <c r="L186" i="3" s="1"/>
  <c r="L191" i="3" s="1"/>
  <c r="G185" i="3" l="1"/>
  <c r="G187" i="3" s="1"/>
  <c r="G179" i="3"/>
  <c r="G182" i="3" s="1"/>
  <c r="J191" i="3"/>
  <c r="J180" i="3"/>
  <c r="L180" i="3" s="1"/>
  <c r="H185" i="3" l="1"/>
  <c r="I185" i="3" s="1"/>
  <c r="I187" i="3" s="1"/>
  <c r="I189" i="3" s="1"/>
  <c r="I193" i="3" s="1"/>
  <c r="G189" i="3"/>
  <c r="H179" i="3"/>
  <c r="H182" i="3" s="1"/>
  <c r="M180" i="3"/>
  <c r="K180" i="3"/>
  <c r="H187" i="3" l="1"/>
  <c r="H189" i="3" s="1"/>
  <c r="H193" i="3" s="1"/>
  <c r="J179" i="3"/>
  <c r="L179" i="3" s="1"/>
  <c r="L182" i="3" s="1"/>
  <c r="L183" i="3" s="1"/>
  <c r="J185" i="3"/>
  <c r="L185" i="3" s="1"/>
  <c r="J182" i="3" l="1"/>
  <c r="M182" i="3"/>
  <c r="J187" i="3"/>
  <c r="J188" i="3" s="1"/>
  <c r="L187" i="3"/>
  <c r="L188" i="3" s="1"/>
  <c r="K182" i="3" l="1"/>
  <c r="J183" i="3"/>
  <c r="K187" i="3"/>
  <c r="J189" i="3"/>
  <c r="L189" i="3"/>
  <c r="L190" i="3" s="1"/>
  <c r="M187" i="3"/>
  <c r="M189" i="3" s="1"/>
  <c r="J193" i="3" l="1"/>
  <c r="J190" i="3"/>
  <c r="K189" i="3"/>
  <c r="K193" i="3" s="1"/>
  <c r="N182" i="3"/>
  <c r="N187" i="3"/>
  <c r="N176" i="3"/>
  <c r="M27" i="3" l="1"/>
  <c r="L36" i="3" l="1"/>
  <c r="L37" i="3" s="1"/>
  <c r="M36" i="3"/>
  <c r="M193" i="3" s="1"/>
  <c r="M194" i="3" s="1"/>
  <c r="L193" i="3" l="1"/>
</calcChain>
</file>

<file path=xl/connections.xml><?xml version="1.0" encoding="utf-8"?>
<connections xmlns="http://schemas.openxmlformats.org/spreadsheetml/2006/main">
  <connection id="1" name="Подключение1" type="4" refreshedVersion="4" background="1" refreshOnLoad="1" saveData="1">
    <webPr sourceData="1" parsePre="1" consecutive="1" xl2000="1" url="http://findept.ru/valyuta/%D0%9E%D0%BC%D1%81%D0%BA"/>
  </connection>
</connections>
</file>

<file path=xl/sharedStrings.xml><?xml version="1.0" encoding="utf-8"?>
<sst xmlns="http://schemas.openxmlformats.org/spreadsheetml/2006/main" count="295" uniqueCount="140">
  <si>
    <t>avtoslovo.ru</t>
  </si>
  <si>
    <t>Своё Авто Дело</t>
  </si>
  <si>
    <t>Задайте условия стратегии</t>
  </si>
  <si>
    <r>
      <t xml:space="preserve">менять </t>
    </r>
    <r>
      <rPr>
        <b/>
        <i/>
        <u/>
        <sz val="12"/>
        <color rgb="FFFFFFFF"/>
        <rFont val="Calibri"/>
        <family val="2"/>
        <charset val="204"/>
        <scheme val="minor"/>
      </rPr>
      <t>ТОЛЬКО</t>
    </r>
    <r>
      <rPr>
        <b/>
        <i/>
        <sz val="12"/>
        <color rgb="FFFFFFFF"/>
        <rFont val="Calibri"/>
        <family val="2"/>
        <charset val="204"/>
        <scheme val="minor"/>
      </rPr>
      <t xml:space="preserve"> красные ячейки!</t>
    </r>
  </si>
  <si>
    <t>период вкладов</t>
  </si>
  <si>
    <t>сегодня</t>
  </si>
  <si>
    <t>окончание вклада</t>
  </si>
  <si>
    <t>USD ЦБ</t>
  </si>
  <si>
    <t>риск не возврата, %</t>
  </si>
  <si>
    <t>% ставка для вклада в день</t>
  </si>
  <si>
    <t>собственный капитал (СК), $</t>
  </si>
  <si>
    <t>% ставка по займу "Гарант"</t>
  </si>
  <si>
    <t>справочно</t>
  </si>
  <si>
    <t>Сумма, $</t>
  </si>
  <si>
    <t>Cрок, дн.</t>
  </si>
  <si>
    <t>%/день, отн</t>
  </si>
  <si>
    <t>%/день, абс</t>
  </si>
  <si>
    <t>Доход, $</t>
  </si>
  <si>
    <t>Прибыль, $</t>
  </si>
  <si>
    <t>Отчисления в ГФ, $</t>
  </si>
  <si>
    <t>Чистая прибыль (ЧП), $</t>
  </si>
  <si>
    <t>ЧП с уч. риска не возврата, $</t>
  </si>
  <si>
    <t>структура ЧП</t>
  </si>
  <si>
    <t>партнер. прибыль от 1 ур.</t>
  </si>
  <si>
    <t>партнер. прибыль от 2 ур.</t>
  </si>
  <si>
    <t>Результат с собств. капитала</t>
  </si>
  <si>
    <t>итого вклады</t>
  </si>
  <si>
    <t>эффект без арбитража</t>
  </si>
  <si>
    <t>Займ "Гарант"</t>
  </si>
  <si>
    <t>Результат с займа "Гарант"</t>
  </si>
  <si>
    <t>эффект от займа "Гарант" к СК</t>
  </si>
  <si>
    <t>Кредит "Арбитраж" (ЗАЙМ)</t>
  </si>
  <si>
    <t>Кредит "Арбитраж" (ВКЛАД)</t>
  </si>
  <si>
    <t>Результат с кредита "Арбитраж"</t>
  </si>
  <si>
    <t>эффект от кредита "Арбитраж" к СК</t>
  </si>
  <si>
    <t>ВСЕГО результат за период</t>
  </si>
  <si>
    <t>Всего эффект</t>
  </si>
  <si>
    <t>Всего вклады</t>
  </si>
  <si>
    <t>Финансовый отдел</t>
  </si>
  <si>
    <t>Банки</t>
  </si>
  <si>
    <t>Курсы валют</t>
  </si>
  <si>
    <t>Кредиты</t>
  </si>
  <si>
    <t>Рассчитать кредит</t>
  </si>
  <si>
    <t>Статьи</t>
  </si>
  <si>
    <t>Автокредиты</t>
  </si>
  <si>
    <t>Рассчитать автокредит</t>
  </si>
  <si>
    <t>Ипотека</t>
  </si>
  <si>
    <t>Рассчитать ипотеку</t>
  </si>
  <si>
    <t>Досрочное погашение</t>
  </si>
  <si>
    <t>Вклады</t>
  </si>
  <si>
    <t>Рассчитать вклад</t>
  </si>
  <si>
    <t>Инвестиции</t>
  </si>
  <si>
    <t>ПИФы</t>
  </si>
  <si>
    <t>Недвижимость</t>
  </si>
  <si>
    <t>Драгоценные металлы</t>
  </si>
  <si>
    <t>Ценные бумаги</t>
  </si>
  <si>
    <t>Адреса</t>
  </si>
  <si>
    <t>Банки Омска</t>
  </si>
  <si>
    <t>Курсы валют в Омске</t>
  </si>
  <si>
    <t>Курсы валют в банках Омска</t>
  </si>
  <si>
    <t>Курсы валют в банках Омска обновляются ежедневно и могут меняться в течение дня. Вы можете сравнить курсы доллара и евро в разных банках Омска, а также воспользоваться валютным калькулятором для быстрого подсчета финальной суммы. Помните, что при обмене больших сумм, банки устанавливают более выгодные курсы чем нижеприведенные. Предварительно уточните в каких отделениях банка в Омске возможны операции с наличной иностранной валютой.</t>
  </si>
  <si>
    <t>Валютные вклады в Омске</t>
  </si>
  <si>
    <t>$€</t>
  </si>
  <si>
    <t>Банк</t>
  </si>
  <si>
    <t>USD</t>
  </si>
  <si>
    <t>Покупка</t>
  </si>
  <si>
    <t>Продажа</t>
  </si>
  <si>
    <t>EUR</t>
  </si>
  <si>
    <t>Дата обновления</t>
  </si>
  <si>
    <t>Банк Рост</t>
  </si>
  <si>
    <t>Ханты-Мансийский банк Открытие</t>
  </si>
  <si>
    <t>Сбербанк России</t>
  </si>
  <si>
    <t>Восточный экспресс банк</t>
  </si>
  <si>
    <t>Банк Ак Барс</t>
  </si>
  <si>
    <t>БКС банк</t>
  </si>
  <si>
    <t>Мираф-банк</t>
  </si>
  <si>
    <t>Банк Канский</t>
  </si>
  <si>
    <t>Уральский банк реконструкции и развития</t>
  </si>
  <si>
    <t>Инвестторгбанк</t>
  </si>
  <si>
    <t>Россельхозбанк</t>
  </si>
  <si>
    <t>Бинбанк</t>
  </si>
  <si>
    <t>Газпромбанк</t>
  </si>
  <si>
    <t>Райффайзенбанк</t>
  </si>
  <si>
    <t>Банк ФК Открытие</t>
  </si>
  <si>
    <t>СКБ-банк</t>
  </si>
  <si>
    <t>Абсолют банк</t>
  </si>
  <si>
    <t>Внешпромбанк</t>
  </si>
  <si>
    <t>Запсибкомбанк</t>
  </si>
  <si>
    <t>СИБЭС</t>
  </si>
  <si>
    <t>Эксперт банк</t>
  </si>
  <si>
    <t>Банк Уралсиб</t>
  </si>
  <si>
    <t>Источник курсов валют: kovalut.ru</t>
  </si>
  <si>
    <t>В настоящее время отсутствует информация о курсах валют в банках Омска.</t>
  </si>
  <si>
    <t>Курсы валют ЦБ РФ</t>
  </si>
  <si>
    <t>EUR ЦБ</t>
  </si>
  <si>
    <t>GBP ЦБ</t>
  </si>
  <si>
    <t>CNY ЦБ</t>
  </si>
  <si>
    <t>UAH ЦБ</t>
  </si>
  <si>
    <t>CHF ЦБ</t>
  </si>
  <si>
    <t>JPY ЦБ</t>
  </si>
  <si>
    <t>Валютный калькулятор</t>
  </si>
  <si>
    <t>Rambler's Top100</t>
  </si>
  <si>
    <t>2013-2014 Проект «Финансовый отдел»</t>
  </si>
  <si>
    <t>Обратная связь</t>
  </si>
  <si>
    <t>Глоссарий</t>
  </si>
  <si>
    <t>Карта сайта</t>
  </si>
  <si>
    <t>Поиск по сайту</t>
  </si>
  <si>
    <t>Новости</t>
  </si>
  <si>
    <t>ЧП по курсу $</t>
  </si>
  <si>
    <t>ЧП по курсу $ с уч. риска не возврата</t>
  </si>
  <si>
    <t>Расчет с условием более одного периода по вложениям</t>
  </si>
  <si>
    <t>ВСЕГО РЕЗУЛЬТАТ за все периоды</t>
  </si>
  <si>
    <t>50.7511</t>
  </si>
  <si>
    <t>56.8971</t>
  </si>
  <si>
    <t>78.5221</t>
  </si>
  <si>
    <t>81.7353</t>
  </si>
  <si>
    <t>24.7446</t>
  </si>
  <si>
    <t>55.0147</t>
  </si>
  <si>
    <t>42.2873</t>
  </si>
  <si>
    <t>Вклад займа "Гарант"</t>
  </si>
  <si>
    <t>шаг м/у займом и вкладом "Арбитраж", дн.</t>
  </si>
  <si>
    <t>займ "Гарант", $</t>
  </si>
  <si>
    <t>Учитывать кредит "Арбитраж"</t>
  </si>
  <si>
    <t>Учитывать займ "Гарант"</t>
  </si>
  <si>
    <t xml:space="preserve">ОмскЦБ РФ(13.05)    USD 50.91 | EUR 57.11 USD | EUR </t>
  </si>
  <si>
    <t>+0.1629</t>
  </si>
  <si>
    <t>50.9140</t>
  </si>
  <si>
    <t>+0.2130</t>
  </si>
  <si>
    <t>57.1102</t>
  </si>
  <si>
    <t>+0.7815</t>
  </si>
  <si>
    <t>79.3036</t>
  </si>
  <si>
    <t>+0.2637</t>
  </si>
  <si>
    <t>81.9990</t>
  </si>
  <si>
    <t>+0.0311</t>
  </si>
  <si>
    <t>24.7757</t>
  </si>
  <si>
    <t>−0.0793</t>
  </si>
  <si>
    <t>54.9353</t>
  </si>
  <si>
    <t>+0.1128</t>
  </si>
  <si>
    <t>42.4001</t>
  </si>
  <si>
    <r>
      <t xml:space="preserve">Расчет рентабельности вложений в проект Webtransfr-finance.com с учетом кредита "Арбитраж" и займа "Гарант" </t>
    </r>
    <r>
      <rPr>
        <sz val="14"/>
        <color theme="0" tint="-0.499984740745262"/>
        <rFont val="Calibri"/>
        <family val="2"/>
        <charset val="204"/>
        <scheme val="minor"/>
      </rPr>
      <t>(размер 1 вклада=50$)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</si>
</sst>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FFFFFF"/>
      <name val="Calibri"/>
      <family val="2"/>
      <charset val="204"/>
      <scheme val="minor"/>
    </font>
    <font>
      <b/>
      <i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 tint="-0.499984740745262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color rgb="FFFFFFFF"/>
      <name val="Calibri"/>
      <family val="2"/>
      <charset val="204"/>
      <scheme val="minor"/>
    </font>
    <font>
      <b/>
      <i/>
      <u/>
      <sz val="12"/>
      <color rgb="FFFFFFF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i/>
      <sz val="11"/>
      <color theme="0" tint="-0.499984740745262"/>
      <name val="Calibri"/>
      <family val="2"/>
      <charset val="204"/>
      <scheme val="minor"/>
    </font>
    <font>
      <b/>
      <i/>
      <sz val="8"/>
      <color rgb="FFFFFFFF"/>
      <name val="Calibri"/>
      <family val="2"/>
      <charset val="204"/>
      <scheme val="minor"/>
    </font>
    <font>
      <i/>
      <sz val="5"/>
      <color rgb="FFFFFFFF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5"/>
      <color rgb="FFFFFFFF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b/>
      <sz val="14"/>
      <color rgb="FFFFFFFF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0" tint="-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i/>
      <sz val="8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sz val="14"/>
      <color rgb="FFFFFFFF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6D5E"/>
        <bgColor rgb="FFFFFFFF"/>
      </patternFill>
    </fill>
    <fill>
      <patternFill patternType="gray0625">
        <fgColor theme="6" tint="-0.24994659260841701"/>
        <bgColor indexed="65"/>
      </patternFill>
    </fill>
    <fill>
      <patternFill patternType="gray0625">
        <fgColor theme="0" tint="-0.499984740745262"/>
        <bgColor indexed="65"/>
      </patternFill>
    </fill>
    <fill>
      <patternFill patternType="gray0625">
        <fgColor theme="6" tint="-0.24994659260841701"/>
        <bgColor rgb="FF0070C0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5" fillId="0" borderId="0" xfId="0" applyFont="1" applyFill="1"/>
    <xf numFmtId="0" fontId="11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/>
    <xf numFmtId="0" fontId="13" fillId="2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Protection="1">
      <protection hidden="1"/>
    </xf>
    <xf numFmtId="0" fontId="5" fillId="0" borderId="0" xfId="0" applyFont="1" applyAlignment="1">
      <alignment vertical="center"/>
    </xf>
    <xf numFmtId="0" fontId="1" fillId="3" borderId="3" xfId="0" applyFont="1" applyFill="1" applyBorder="1"/>
    <xf numFmtId="0" fontId="15" fillId="2" borderId="4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0" fillId="3" borderId="3" xfId="0" applyFill="1" applyBorder="1" applyAlignment="1">
      <alignment horizontal="left" indent="1"/>
    </xf>
    <xf numFmtId="14" fontId="1" fillId="3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 applyProtection="1">
      <alignment horizontal="right"/>
      <protection locked="0"/>
    </xf>
    <xf numFmtId="0" fontId="16" fillId="0" borderId="0" xfId="0" applyFont="1"/>
    <xf numFmtId="0" fontId="1" fillId="0" borderId="0" xfId="0" applyFont="1"/>
    <xf numFmtId="0" fontId="15" fillId="3" borderId="5" xfId="0" applyFont="1" applyFill="1" applyBorder="1" applyProtection="1">
      <protection hidden="1"/>
    </xf>
    <xf numFmtId="0" fontId="1" fillId="3" borderId="5" xfId="0" applyFont="1" applyFill="1" applyBorder="1"/>
    <xf numFmtId="0" fontId="16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6" xfId="0" applyFont="1" applyBorder="1"/>
    <xf numFmtId="0" fontId="20" fillId="0" borderId="0" xfId="0" applyFont="1" applyFill="1"/>
    <xf numFmtId="0" fontId="1" fillId="0" borderId="0" xfId="0" applyFont="1" applyFill="1" applyAlignment="1"/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center" vertical="center" wrapText="1"/>
      <protection hidden="1"/>
    </xf>
    <xf numFmtId="0" fontId="23" fillId="3" borderId="8" xfId="0" applyFont="1" applyFill="1" applyBorder="1" applyAlignment="1" applyProtection="1">
      <alignment horizontal="center" vertical="center" wrapText="1"/>
      <protection hidden="1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9" fontId="25" fillId="3" borderId="3" xfId="0" applyNumberFormat="1" applyFont="1" applyFill="1" applyBorder="1" applyAlignment="1" applyProtection="1">
      <alignment vertical="center"/>
      <protection hidden="1"/>
    </xf>
    <xf numFmtId="1" fontId="26" fillId="3" borderId="11" xfId="0" applyNumberFormat="1" applyFont="1" applyFill="1" applyBorder="1" applyAlignment="1" applyProtection="1">
      <alignment vertical="center"/>
      <protection hidden="1"/>
    </xf>
    <xf numFmtId="1" fontId="26" fillId="3" borderId="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3" borderId="3" xfId="0" applyFill="1" applyBorder="1" applyProtection="1">
      <protection hidden="1"/>
    </xf>
    <xf numFmtId="2" fontId="0" fillId="3" borderId="3" xfId="0" applyNumberFormat="1" applyFill="1" applyBorder="1" applyProtection="1">
      <protection hidden="1"/>
    </xf>
    <xf numFmtId="3" fontId="0" fillId="3" borderId="3" xfId="0" applyNumberFormat="1" applyFill="1" applyBorder="1" applyAlignment="1" applyProtection="1">
      <alignment horizontal="right"/>
      <protection hidden="1"/>
    </xf>
    <xf numFmtId="0" fontId="0" fillId="3" borderId="2" xfId="0" applyFill="1" applyBorder="1" applyProtection="1">
      <protection hidden="1"/>
    </xf>
    <xf numFmtId="0" fontId="22" fillId="3" borderId="3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/>
    <xf numFmtId="0" fontId="2" fillId="0" borderId="0" xfId="0" applyFont="1" applyFill="1"/>
    <xf numFmtId="0" fontId="27" fillId="3" borderId="3" xfId="0" applyFont="1" applyFill="1" applyBorder="1" applyProtection="1">
      <protection hidden="1"/>
    </xf>
    <xf numFmtId="0" fontId="29" fillId="0" borderId="0" xfId="0" applyFont="1" applyFill="1"/>
    <xf numFmtId="0" fontId="22" fillId="3" borderId="0" xfId="0" applyFont="1" applyFill="1" applyProtection="1">
      <protection hidden="1"/>
    </xf>
    <xf numFmtId="2" fontId="22" fillId="3" borderId="3" xfId="0" applyNumberFormat="1" applyFont="1" applyFill="1" applyBorder="1" applyProtection="1">
      <protection hidden="1"/>
    </xf>
    <xf numFmtId="3" fontId="22" fillId="3" borderId="3" xfId="0" applyNumberFormat="1" applyFont="1" applyFill="1" applyBorder="1" applyAlignment="1" applyProtection="1">
      <alignment horizontal="right"/>
      <protection hidden="1"/>
    </xf>
    <xf numFmtId="0" fontId="22" fillId="3" borderId="2" xfId="0" applyFont="1" applyFill="1" applyBorder="1" applyProtection="1">
      <protection hidden="1"/>
    </xf>
    <xf numFmtId="0" fontId="32" fillId="0" borderId="0" xfId="0" applyFont="1" applyFill="1" applyProtection="1">
      <protection hidden="1"/>
    </xf>
    <xf numFmtId="0" fontId="22" fillId="0" borderId="0" xfId="0" applyFont="1" applyFill="1"/>
    <xf numFmtId="0" fontId="33" fillId="3" borderId="3" xfId="0" applyFont="1" applyFill="1" applyBorder="1" applyAlignment="1" applyProtection="1">
      <alignment wrapText="1"/>
      <protection hidden="1"/>
    </xf>
    <xf numFmtId="0" fontId="33" fillId="3" borderId="3" xfId="0" applyFont="1" applyFill="1" applyBorder="1" applyProtection="1">
      <protection hidden="1"/>
    </xf>
    <xf numFmtId="0" fontId="34" fillId="3" borderId="3" xfId="0" applyFont="1" applyFill="1" applyBorder="1" applyProtection="1">
      <protection hidden="1"/>
    </xf>
    <xf numFmtId="2" fontId="33" fillId="3" borderId="3" xfId="0" applyNumberFormat="1" applyFont="1" applyFill="1" applyBorder="1" applyProtection="1">
      <protection hidden="1"/>
    </xf>
    <xf numFmtId="164" fontId="33" fillId="3" borderId="3" xfId="0" applyNumberFormat="1" applyFont="1" applyFill="1" applyBorder="1" applyProtection="1">
      <protection hidden="1"/>
    </xf>
    <xf numFmtId="3" fontId="33" fillId="3" borderId="3" xfId="0" applyNumberFormat="1" applyFont="1" applyFill="1" applyBorder="1" applyProtection="1">
      <protection hidden="1"/>
    </xf>
    <xf numFmtId="0" fontId="33" fillId="3" borderId="2" xfId="0" applyFont="1" applyFill="1" applyBorder="1" applyProtection="1">
      <protection hidden="1"/>
    </xf>
    <xf numFmtId="0" fontId="35" fillId="3" borderId="3" xfId="0" applyFont="1" applyFill="1" applyBorder="1" applyProtection="1">
      <protection hidden="1"/>
    </xf>
    <xf numFmtId="1" fontId="33" fillId="3" borderId="3" xfId="0" applyNumberFormat="1" applyFont="1" applyFill="1" applyBorder="1" applyProtection="1">
      <protection hidden="1"/>
    </xf>
    <xf numFmtId="3" fontId="33" fillId="3" borderId="3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3" fontId="32" fillId="3" borderId="3" xfId="0" applyNumberFormat="1" applyFont="1" applyFill="1" applyBorder="1" applyAlignment="1" applyProtection="1">
      <alignment horizontal="right"/>
      <protection hidden="1"/>
    </xf>
    <xf numFmtId="0" fontId="36" fillId="0" borderId="0" xfId="0" applyFont="1" applyProtection="1">
      <protection hidden="1"/>
    </xf>
    <xf numFmtId="0" fontId="33" fillId="0" borderId="0" xfId="0" applyFont="1"/>
    <xf numFmtId="0" fontId="29" fillId="0" borderId="0" xfId="0" applyFont="1"/>
    <xf numFmtId="3" fontId="20" fillId="3" borderId="3" xfId="0" applyNumberFormat="1" applyFont="1" applyFill="1" applyBorder="1" applyAlignment="1" applyProtection="1">
      <alignment horizontal="right"/>
      <protection hidden="1"/>
    </xf>
    <xf numFmtId="0" fontId="32" fillId="0" borderId="0" xfId="0" applyFont="1" applyProtection="1">
      <protection hidden="1"/>
    </xf>
    <xf numFmtId="0" fontId="22" fillId="0" borderId="0" xfId="0" applyFont="1"/>
    <xf numFmtId="0" fontId="2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vertical="center"/>
    </xf>
    <xf numFmtId="0" fontId="35" fillId="3" borderId="3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27" fillId="3" borderId="2" xfId="0" applyFont="1" applyFill="1" applyBorder="1" applyAlignment="1" applyProtection="1">
      <alignment wrapText="1"/>
      <protection hidden="1"/>
    </xf>
    <xf numFmtId="0" fontId="33" fillId="3" borderId="13" xfId="0" applyFont="1" applyFill="1" applyBorder="1" applyProtection="1">
      <protection hidden="1"/>
    </xf>
    <xf numFmtId="0" fontId="33" fillId="3" borderId="5" xfId="0" applyFont="1" applyFill="1" applyBorder="1" applyProtection="1">
      <protection hidden="1"/>
    </xf>
    <xf numFmtId="3" fontId="33" fillId="3" borderId="5" xfId="0" applyNumberFormat="1" applyFont="1" applyFill="1" applyBorder="1" applyAlignment="1" applyProtection="1">
      <alignment horizontal="right"/>
      <protection hidden="1"/>
    </xf>
    <xf numFmtId="9" fontId="33" fillId="3" borderId="14" xfId="0" applyNumberFormat="1" applyFont="1" applyFill="1" applyBorder="1" applyProtection="1">
      <protection hidden="1"/>
    </xf>
    <xf numFmtId="0" fontId="35" fillId="3" borderId="5" xfId="0" applyFont="1" applyFill="1" applyBorder="1" applyProtection="1">
      <protection hidden="1"/>
    </xf>
    <xf numFmtId="0" fontId="27" fillId="3" borderId="2" xfId="0" applyFont="1" applyFill="1" applyBorder="1" applyProtection="1">
      <protection hidden="1"/>
    </xf>
    <xf numFmtId="0" fontId="22" fillId="3" borderId="11" xfId="0" applyFont="1" applyFill="1" applyBorder="1" applyProtection="1">
      <protection hidden="1"/>
    </xf>
    <xf numFmtId="0" fontId="18" fillId="0" borderId="0" xfId="0" applyFont="1"/>
    <xf numFmtId="0" fontId="26" fillId="0" borderId="0" xfId="0" applyFont="1"/>
    <xf numFmtId="0" fontId="40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22" fontId="0" fillId="0" borderId="0" xfId="0" applyNumberFormat="1"/>
    <xf numFmtId="0" fontId="0" fillId="0" borderId="0" xfId="0" applyFill="1" applyAlignment="1">
      <alignment wrapText="1"/>
    </xf>
    <xf numFmtId="2" fontId="0" fillId="0" borderId="0" xfId="0" applyNumberFormat="1" applyFill="1"/>
    <xf numFmtId="20" fontId="0" fillId="0" borderId="0" xfId="0" applyNumberFormat="1"/>
    <xf numFmtId="16" fontId="0" fillId="0" borderId="0" xfId="0" applyNumberFormat="1"/>
    <xf numFmtId="17" fontId="0" fillId="0" borderId="0" xfId="0" applyNumberFormat="1"/>
    <xf numFmtId="16" fontId="0" fillId="0" borderId="0" xfId="0" applyNumberFormat="1" applyAlignment="1">
      <alignment horizontal="center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2" fontId="24" fillId="6" borderId="9" xfId="0" applyNumberFormat="1" applyFont="1" applyFill="1" applyBorder="1" applyAlignment="1" applyProtection="1">
      <alignment vertical="center"/>
      <protection hidden="1"/>
    </xf>
    <xf numFmtId="3" fontId="28" fillId="5" borderId="3" xfId="0" applyNumberFormat="1" applyFont="1" applyFill="1" applyBorder="1" applyProtection="1">
      <protection hidden="1"/>
    </xf>
    <xf numFmtId="0" fontId="30" fillId="5" borderId="3" xfId="0" applyFont="1" applyFill="1" applyBorder="1" applyProtection="1">
      <protection hidden="1"/>
    </xf>
    <xf numFmtId="9" fontId="28" fillId="5" borderId="3" xfId="0" applyNumberFormat="1" applyFont="1" applyFill="1" applyBorder="1" applyProtection="1">
      <protection hidden="1"/>
    </xf>
    <xf numFmtId="164" fontId="28" fillId="5" borderId="3" xfId="0" applyNumberFormat="1" applyFont="1" applyFill="1" applyBorder="1" applyProtection="1">
      <protection hidden="1"/>
    </xf>
    <xf numFmtId="0" fontId="30" fillId="5" borderId="5" xfId="0" applyFont="1" applyFill="1" applyBorder="1" applyProtection="1">
      <protection hidden="1"/>
    </xf>
    <xf numFmtId="165" fontId="24" fillId="6" borderId="9" xfId="0" applyNumberFormat="1" applyFont="1" applyFill="1" applyBorder="1" applyAlignment="1" applyProtection="1">
      <alignment vertical="center"/>
      <protection hidden="1"/>
    </xf>
    <xf numFmtId="9" fontId="28" fillId="5" borderId="4" xfId="0" applyNumberFormat="1" applyFont="1" applyFill="1" applyBorder="1" applyProtection="1">
      <protection hidden="1"/>
    </xf>
    <xf numFmtId="2" fontId="24" fillId="6" borderId="9" xfId="0" applyNumberFormat="1" applyFont="1" applyFill="1" applyBorder="1" applyAlignment="1" applyProtection="1">
      <alignment horizontal="right" vertical="center"/>
      <protection hidden="1"/>
    </xf>
    <xf numFmtId="9" fontId="28" fillId="5" borderId="12" xfId="0" applyNumberFormat="1" applyFont="1" applyFill="1" applyBorder="1" applyProtection="1">
      <protection hidden="1"/>
    </xf>
    <xf numFmtId="3" fontId="24" fillId="6" borderId="9" xfId="0" applyNumberFormat="1" applyFont="1" applyFill="1" applyBorder="1" applyAlignment="1" applyProtection="1">
      <alignment vertical="center"/>
      <protection hidden="1"/>
    </xf>
    <xf numFmtId="1" fontId="31" fillId="5" borderId="3" xfId="0" applyNumberFormat="1" applyFont="1" applyFill="1" applyBorder="1" applyProtection="1">
      <protection hidden="1"/>
    </xf>
    <xf numFmtId="0" fontId="31" fillId="5" borderId="5" xfId="0" applyFont="1" applyFill="1" applyBorder="1" applyProtection="1">
      <protection hidden="1"/>
    </xf>
    <xf numFmtId="164" fontId="24" fillId="6" borderId="9" xfId="0" applyNumberFormat="1" applyFont="1" applyFill="1" applyBorder="1" applyAlignment="1" applyProtection="1">
      <alignment vertical="center"/>
      <protection hidden="1"/>
    </xf>
    <xf numFmtId="0" fontId="24" fillId="5" borderId="3" xfId="0" applyFont="1" applyFill="1" applyBorder="1" applyAlignment="1" applyProtection="1">
      <alignment vertical="center"/>
      <protection hidden="1"/>
    </xf>
    <xf numFmtId="2" fontId="24" fillId="5" borderId="3" xfId="0" applyNumberFormat="1" applyFont="1" applyFill="1" applyBorder="1" applyAlignment="1" applyProtection="1">
      <alignment vertical="center"/>
      <protection hidden="1"/>
    </xf>
    <xf numFmtId="2" fontId="24" fillId="5" borderId="2" xfId="0" applyNumberFormat="1" applyFont="1" applyFill="1" applyBorder="1" applyAlignment="1" applyProtection="1">
      <alignment vertical="center"/>
      <protection hidden="1"/>
    </xf>
    <xf numFmtId="3" fontId="24" fillId="5" borderId="10" xfId="0" applyNumberFormat="1" applyFont="1" applyFill="1" applyBorder="1" applyAlignment="1" applyProtection="1">
      <alignment horizontal="right" vertical="center"/>
      <protection hidden="1"/>
    </xf>
    <xf numFmtId="3" fontId="24" fillId="5" borderId="10" xfId="0" applyNumberFormat="1" applyFont="1" applyFill="1" applyBorder="1" applyAlignment="1" applyProtection="1">
      <alignment vertical="center"/>
      <protection hidden="1"/>
    </xf>
    <xf numFmtId="165" fontId="24" fillId="5" borderId="3" xfId="0" applyNumberFormat="1" applyFont="1" applyFill="1" applyBorder="1" applyAlignment="1" applyProtection="1">
      <alignment vertical="center"/>
      <protection hidden="1"/>
    </xf>
    <xf numFmtId="165" fontId="24" fillId="5" borderId="2" xfId="0" applyNumberFormat="1" applyFont="1" applyFill="1" applyBorder="1" applyAlignment="1" applyProtection="1">
      <alignment vertical="center"/>
      <protection hidden="1"/>
    </xf>
    <xf numFmtId="164" fontId="24" fillId="5" borderId="10" xfId="0" applyNumberFormat="1" applyFont="1" applyFill="1" applyBorder="1" applyAlignment="1" applyProtection="1">
      <alignment vertical="center"/>
      <protection hidden="1"/>
    </xf>
    <xf numFmtId="164" fontId="24" fillId="5" borderId="11" xfId="0" applyNumberFormat="1" applyFont="1" applyFill="1" applyBorder="1" applyAlignment="1" applyProtection="1">
      <alignment vertical="center"/>
      <protection hidden="1"/>
    </xf>
    <xf numFmtId="0" fontId="37" fillId="5" borderId="3" xfId="0" applyFont="1" applyFill="1" applyBorder="1" applyAlignment="1" applyProtection="1">
      <alignment vertical="center"/>
      <protection hidden="1"/>
    </xf>
    <xf numFmtId="0" fontId="24" fillId="5" borderId="3" xfId="0" applyFont="1" applyFill="1" applyBorder="1" applyAlignment="1" applyProtection="1">
      <alignment vertical="center" wrapText="1"/>
      <protection hidden="1"/>
    </xf>
    <xf numFmtId="0" fontId="24" fillId="5" borderId="5" xfId="0" applyFont="1" applyFill="1" applyBorder="1" applyAlignment="1" applyProtection="1">
      <alignment vertical="center"/>
      <protection hidden="1"/>
    </xf>
    <xf numFmtId="0" fontId="41" fillId="7" borderId="0" xfId="0" applyFont="1" applyFill="1"/>
    <xf numFmtId="0" fontId="19" fillId="0" borderId="7" xfId="0" applyFont="1" applyFill="1" applyBorder="1" applyProtection="1">
      <protection locked="0"/>
    </xf>
    <xf numFmtId="0" fontId="21" fillId="0" borderId="6" xfId="0" applyFont="1" applyBorder="1"/>
    <xf numFmtId="0" fontId="21" fillId="0" borderId="7" xfId="0" applyFont="1" applyFill="1" applyBorder="1" applyProtection="1">
      <protection locked="0"/>
    </xf>
    <xf numFmtId="165" fontId="41" fillId="7" borderId="0" xfId="0" applyNumberFormat="1" applyFont="1" applyFill="1"/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1" fontId="15" fillId="3" borderId="5" xfId="0" applyNumberFormat="1" applyFont="1" applyFill="1" applyBorder="1" applyProtection="1">
      <protection hidden="1"/>
    </xf>
    <xf numFmtId="3" fontId="15" fillId="2" borderId="3" xfId="0" applyNumberFormat="1" applyFont="1" applyFill="1" applyBorder="1" applyProtection="1">
      <protection locked="0"/>
    </xf>
    <xf numFmtId="3" fontId="15" fillId="3" borderId="5" xfId="0" applyNumberFormat="1" applyFont="1" applyFill="1" applyBorder="1" applyProtection="1">
      <protection hidden="1"/>
    </xf>
    <xf numFmtId="4" fontId="24" fillId="6" borderId="9" xfId="0" applyNumberFormat="1" applyFont="1" applyFill="1" applyBorder="1" applyAlignment="1" applyProtection="1">
      <alignment vertical="center"/>
      <protection hidden="1"/>
    </xf>
    <xf numFmtId="3" fontId="41" fillId="7" borderId="0" xfId="0" applyNumberFormat="1" applyFont="1" applyFill="1"/>
    <xf numFmtId="9" fontId="8" fillId="0" borderId="0" xfId="0" applyNumberFormat="1" applyFont="1"/>
    <xf numFmtId="1" fontId="30" fillId="5" borderId="3" xfId="0" applyNumberFormat="1" applyFont="1" applyFill="1" applyBorder="1" applyProtection="1">
      <protection hidden="1"/>
    </xf>
    <xf numFmtId="0" fontId="11" fillId="0" borderId="0" xfId="0" applyFont="1" applyFill="1" applyBorder="1" applyAlignment="1"/>
    <xf numFmtId="0" fontId="17" fillId="0" borderId="6" xfId="0" applyFont="1" applyFill="1" applyBorder="1"/>
    <xf numFmtId="0" fontId="17" fillId="0" borderId="7" xfId="0" applyFont="1" applyFill="1" applyBorder="1"/>
    <xf numFmtId="0" fontId="22" fillId="3" borderId="3" xfId="0" applyFont="1" applyFill="1" applyBorder="1" applyAlignment="1">
      <alignment horizontal="center"/>
    </xf>
  </cellXfs>
  <cellStyles count="1">
    <cellStyle name="Обычный" xfId="0" builtinId="0"/>
  </cellStyles>
  <dxfs count="9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FFFF"/>
      </font>
    </dxf>
    <dxf>
      <font>
        <color theme="0" tint="-0.24994659260841701"/>
      </font>
    </dxf>
    <dxf>
      <font>
        <color rgb="FFFF0000"/>
      </font>
    </dxf>
    <dxf>
      <font>
        <color rgb="FFFFFFFF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fmlaLink="$C$19" lockText="1"/>
</file>

<file path=xl/ctrlProps/ctrlProp10.xml><?xml version="1.0" encoding="utf-8"?>
<formControlPr xmlns="http://schemas.microsoft.com/office/spreadsheetml/2009/9/main" objectType="CheckBox" checked="Checked" fmlaLink="$G$18" lockText="1"/>
</file>

<file path=xl/ctrlProps/ctrlProp11.xml><?xml version="1.0" encoding="utf-8"?>
<formControlPr xmlns="http://schemas.microsoft.com/office/spreadsheetml/2009/9/main" objectType="CheckBox" fmlaLink="$H$19" lockText="1"/>
</file>

<file path=xl/ctrlProps/ctrlProp12.xml><?xml version="1.0" encoding="utf-8"?>
<formControlPr xmlns="http://schemas.microsoft.com/office/spreadsheetml/2009/9/main" objectType="CheckBox" checked="Checked" fmlaLink="$H$18" lockText="1"/>
</file>

<file path=xl/ctrlProps/ctrlProp13.xml><?xml version="1.0" encoding="utf-8"?>
<formControlPr xmlns="http://schemas.microsoft.com/office/spreadsheetml/2009/9/main" objectType="CheckBox" fmlaLink="$I$19" lockText="1"/>
</file>

<file path=xl/ctrlProps/ctrlProp14.xml><?xml version="1.0" encoding="utf-8"?>
<formControlPr xmlns="http://schemas.microsoft.com/office/spreadsheetml/2009/9/main" objectType="CheckBox" checked="Checked" fmlaLink="$I$18" lockText="1"/>
</file>

<file path=xl/ctrlProps/ctrlProp15.xml><?xml version="1.0" encoding="utf-8"?>
<formControlPr xmlns="http://schemas.microsoft.com/office/spreadsheetml/2009/9/main" objectType="CheckBox" fmlaLink="$J$19" lockText="1"/>
</file>

<file path=xl/ctrlProps/ctrlProp16.xml><?xml version="1.0" encoding="utf-8"?>
<formControlPr xmlns="http://schemas.microsoft.com/office/spreadsheetml/2009/9/main" objectType="CheckBox" checked="Checked" fmlaLink="$J$18" lockText="1"/>
</file>

<file path=xl/ctrlProps/ctrlProp17.xml><?xml version="1.0" encoding="utf-8"?>
<formControlPr xmlns="http://schemas.microsoft.com/office/spreadsheetml/2009/9/main" objectType="CheckBox" fmlaLink="$K$19" lockText="1"/>
</file>

<file path=xl/ctrlProps/ctrlProp18.xml><?xml version="1.0" encoding="utf-8"?>
<formControlPr xmlns="http://schemas.microsoft.com/office/spreadsheetml/2009/9/main" objectType="CheckBox" checked="Checked" fmlaLink="$K$18" lockText="1"/>
</file>

<file path=xl/ctrlProps/ctrlProp19.xml><?xml version="1.0" encoding="utf-8"?>
<formControlPr xmlns="http://schemas.microsoft.com/office/spreadsheetml/2009/9/main" objectType="CheckBox" fmlaLink="$L$19" lockText="1"/>
</file>

<file path=xl/ctrlProps/ctrlProp2.xml><?xml version="1.0" encoding="utf-8"?>
<formControlPr xmlns="http://schemas.microsoft.com/office/spreadsheetml/2009/9/main" objectType="CheckBox" checked="Checked" fmlaLink="$C$18" lockText="1"/>
</file>

<file path=xl/ctrlProps/ctrlProp20.xml><?xml version="1.0" encoding="utf-8"?>
<formControlPr xmlns="http://schemas.microsoft.com/office/spreadsheetml/2009/9/main" objectType="CheckBox" checked="Checked" fmlaLink="$L$18" lockText="1"/>
</file>

<file path=xl/ctrlProps/ctrlProp3.xml><?xml version="1.0" encoding="utf-8"?>
<formControlPr xmlns="http://schemas.microsoft.com/office/spreadsheetml/2009/9/main" objectType="CheckBox" fmlaLink="$D$19" lockText="1"/>
</file>

<file path=xl/ctrlProps/ctrlProp4.xml><?xml version="1.0" encoding="utf-8"?>
<formControlPr xmlns="http://schemas.microsoft.com/office/spreadsheetml/2009/9/main" objectType="CheckBox" checked="Checked" fmlaLink="$D$18" lockText="1"/>
</file>

<file path=xl/ctrlProps/ctrlProp5.xml><?xml version="1.0" encoding="utf-8"?>
<formControlPr xmlns="http://schemas.microsoft.com/office/spreadsheetml/2009/9/main" objectType="CheckBox" fmlaLink="$E$19" lockText="1"/>
</file>

<file path=xl/ctrlProps/ctrlProp6.xml><?xml version="1.0" encoding="utf-8"?>
<formControlPr xmlns="http://schemas.microsoft.com/office/spreadsheetml/2009/9/main" objectType="CheckBox" checked="Checked" fmlaLink="$E$18" lockText="1"/>
</file>

<file path=xl/ctrlProps/ctrlProp7.xml><?xml version="1.0" encoding="utf-8"?>
<formControlPr xmlns="http://schemas.microsoft.com/office/spreadsheetml/2009/9/main" objectType="CheckBox" fmlaLink="$F$19" lockText="1"/>
</file>

<file path=xl/ctrlProps/ctrlProp8.xml><?xml version="1.0" encoding="utf-8"?>
<formControlPr xmlns="http://schemas.microsoft.com/office/spreadsheetml/2009/9/main" objectType="CheckBox" checked="Checked" fmlaLink="$F$18" lockText="1"/>
</file>

<file path=xl/ctrlProps/ctrlProp9.xml><?xml version="1.0" encoding="utf-8"?>
<formControlPr xmlns="http://schemas.microsoft.com/office/spreadsheetml/2009/9/main" objectType="CheckBox" fmlaLink="$G$1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18</xdr:row>
          <xdr:rowOff>38100</xdr:rowOff>
        </xdr:from>
        <xdr:to>
          <xdr:col>2</xdr:col>
          <xdr:colOff>561975</xdr:colOff>
          <xdr:row>19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17</xdr:row>
          <xdr:rowOff>19050</xdr:rowOff>
        </xdr:from>
        <xdr:to>
          <xdr:col>2</xdr:col>
          <xdr:colOff>504825</xdr:colOff>
          <xdr:row>18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145676</xdr:colOff>
      <xdr:row>0</xdr:row>
      <xdr:rowOff>0</xdr:rowOff>
    </xdr:from>
    <xdr:to>
      <xdr:col>13</xdr:col>
      <xdr:colOff>627529</xdr:colOff>
      <xdr:row>2</xdr:row>
      <xdr:rowOff>11205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8576" y="0"/>
          <a:ext cx="481853" cy="4874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19050</xdr:rowOff>
        </xdr:from>
        <xdr:to>
          <xdr:col>3</xdr:col>
          <xdr:colOff>571500</xdr:colOff>
          <xdr:row>19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17</xdr:row>
          <xdr:rowOff>28575</xdr:rowOff>
        </xdr:from>
        <xdr:to>
          <xdr:col>3</xdr:col>
          <xdr:colOff>533400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18</xdr:row>
          <xdr:rowOff>9525</xdr:rowOff>
        </xdr:from>
        <xdr:to>
          <xdr:col>4</xdr:col>
          <xdr:colOff>581025</xdr:colOff>
          <xdr:row>19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17</xdr:row>
          <xdr:rowOff>19050</xdr:rowOff>
        </xdr:from>
        <xdr:to>
          <xdr:col>4</xdr:col>
          <xdr:colOff>609600</xdr:colOff>
          <xdr:row>18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19050</xdr:rowOff>
        </xdr:from>
        <xdr:to>
          <xdr:col>5</xdr:col>
          <xdr:colOff>533400</xdr:colOff>
          <xdr:row>19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17</xdr:row>
          <xdr:rowOff>9525</xdr:rowOff>
        </xdr:from>
        <xdr:to>
          <xdr:col>5</xdr:col>
          <xdr:colOff>523875</xdr:colOff>
          <xdr:row>18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18</xdr:row>
          <xdr:rowOff>19050</xdr:rowOff>
        </xdr:from>
        <xdr:to>
          <xdr:col>6</xdr:col>
          <xdr:colOff>590550</xdr:colOff>
          <xdr:row>19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17</xdr:row>
          <xdr:rowOff>19050</xdr:rowOff>
        </xdr:from>
        <xdr:to>
          <xdr:col>6</xdr:col>
          <xdr:colOff>561975</xdr:colOff>
          <xdr:row>18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18</xdr:row>
          <xdr:rowOff>19050</xdr:rowOff>
        </xdr:from>
        <xdr:to>
          <xdr:col>7</xdr:col>
          <xdr:colOff>647700</xdr:colOff>
          <xdr:row>19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19050</xdr:rowOff>
        </xdr:from>
        <xdr:to>
          <xdr:col>7</xdr:col>
          <xdr:colOff>581025</xdr:colOff>
          <xdr:row>18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9525</xdr:rowOff>
        </xdr:from>
        <xdr:to>
          <xdr:col>8</xdr:col>
          <xdr:colOff>485775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19050</xdr:rowOff>
        </xdr:from>
        <xdr:to>
          <xdr:col>8</xdr:col>
          <xdr:colOff>523875</xdr:colOff>
          <xdr:row>18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18</xdr:row>
          <xdr:rowOff>9525</xdr:rowOff>
        </xdr:from>
        <xdr:to>
          <xdr:col>9</xdr:col>
          <xdr:colOff>590550</xdr:colOff>
          <xdr:row>19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17</xdr:row>
          <xdr:rowOff>9525</xdr:rowOff>
        </xdr:from>
        <xdr:to>
          <xdr:col>9</xdr:col>
          <xdr:colOff>628650</xdr:colOff>
          <xdr:row>18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19050</xdr:rowOff>
        </xdr:from>
        <xdr:to>
          <xdr:col>10</xdr:col>
          <xdr:colOff>504825</xdr:colOff>
          <xdr:row>19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9525</xdr:rowOff>
        </xdr:from>
        <xdr:to>
          <xdr:col>10</xdr:col>
          <xdr:colOff>533400</xdr:colOff>
          <xdr:row>18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18</xdr:row>
          <xdr:rowOff>19050</xdr:rowOff>
        </xdr:from>
        <xdr:to>
          <xdr:col>11</xdr:col>
          <xdr:colOff>647700</xdr:colOff>
          <xdr:row>19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17</xdr:row>
          <xdr:rowOff>9525</xdr:rowOff>
        </xdr:from>
        <xdr:to>
          <xdr:col>11</xdr:col>
          <xdr:colOff>571500</xdr:colOff>
          <xdr:row>18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%D0%9E%D0%BC%D1%81%D0%BA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U194"/>
  <sheetViews>
    <sheetView showGridLines="0" showZeros="0" tabSelected="1" topLeftCell="B5" zoomScale="90" zoomScaleNormal="90" zoomScaleSheetLayoutView="85" workbookViewId="0">
      <pane ySplit="18" topLeftCell="A23" activePane="bottomLeft" state="frozen"/>
      <selection activeCell="A5" sqref="A5"/>
      <selection pane="bottomLeft" activeCell="B6" sqref="B6"/>
    </sheetView>
  </sheetViews>
  <sheetFormatPr defaultRowHeight="15" outlineLevelRow="1" outlineLevelCol="1" x14ac:dyDescent="0.25"/>
  <cols>
    <col min="1" max="1" width="3.7109375" style="1" hidden="1" customWidth="1" outlineLevel="1"/>
    <col min="2" max="2" width="43" customWidth="1" collapsed="1"/>
    <col min="3" max="3" width="10.85546875" customWidth="1"/>
    <col min="4" max="4" width="11" customWidth="1"/>
    <col min="5" max="5" width="12" bestFit="1" customWidth="1"/>
    <col min="6" max="6" width="12" customWidth="1"/>
    <col min="7" max="7" width="11.5703125" customWidth="1"/>
    <col min="8" max="8" width="12" bestFit="1" customWidth="1"/>
    <col min="9" max="9" width="11.5703125" customWidth="1"/>
    <col min="10" max="10" width="15.28515625" customWidth="1"/>
    <col min="11" max="11" width="14.28515625" customWidth="1"/>
    <col min="12" max="12" width="14.7109375" customWidth="1"/>
    <col min="13" max="13" width="17.85546875" customWidth="1"/>
    <col min="14" max="14" width="12.140625" customWidth="1"/>
    <col min="15" max="15" width="11.7109375" style="3" hidden="1" customWidth="1" outlineLevel="1"/>
    <col min="16" max="16" width="11.85546875" style="3" hidden="1" customWidth="1" outlineLevel="1"/>
    <col min="17" max="17" width="4.42578125" bestFit="1" customWidth="1" collapsed="1"/>
    <col min="18" max="18" width="3.42578125" bestFit="1" customWidth="1"/>
    <col min="19" max="20" width="6.42578125" bestFit="1" customWidth="1"/>
    <col min="21" max="21" width="7.42578125" bestFit="1" customWidth="1"/>
  </cols>
  <sheetData>
    <row r="1" spans="1:21" ht="18.75" customHeight="1" x14ac:dyDescent="0.25">
      <c r="K1" s="2" t="s">
        <v>0</v>
      </c>
      <c r="N1" s="3"/>
    </row>
    <row r="2" spans="1:21" ht="18.75" customHeight="1" x14ac:dyDescent="0.25">
      <c r="K2" s="2" t="s">
        <v>1</v>
      </c>
      <c r="N2" s="3"/>
    </row>
    <row r="3" spans="1:21" ht="15.75" x14ac:dyDescent="0.25">
      <c r="O3" s="2"/>
    </row>
    <row r="4" spans="1:21" ht="15.75" x14ac:dyDescent="0.25">
      <c r="P4" s="2"/>
    </row>
    <row r="5" spans="1:21" s="5" customFormat="1" ht="18.75" x14ac:dyDescent="0.3">
      <c r="A5" s="4"/>
      <c r="B5" s="5" t="s">
        <v>139</v>
      </c>
      <c r="O5" s="6"/>
      <c r="P5" s="6"/>
      <c r="Q5" s="7"/>
      <c r="R5" s="7"/>
      <c r="S5" s="7"/>
      <c r="T5" s="7"/>
      <c r="U5" s="7"/>
    </row>
    <row r="6" spans="1:21" s="8" customFormat="1" x14ac:dyDescent="0.25">
      <c r="A6" s="9"/>
      <c r="B6" s="10" t="s">
        <v>2</v>
      </c>
      <c r="C6" s="11"/>
      <c r="D6" s="11"/>
      <c r="O6" s="12"/>
      <c r="P6" s="12"/>
    </row>
    <row r="7" spans="1:21" s="8" customFormat="1" ht="15.75" x14ac:dyDescent="0.25">
      <c r="A7" s="9"/>
      <c r="B7" s="13" t="s">
        <v>3</v>
      </c>
      <c r="C7" s="14"/>
      <c r="D7" s="155" t="s">
        <v>110</v>
      </c>
      <c r="P7" s="12"/>
    </row>
    <row r="8" spans="1:21" s="20" customFormat="1" x14ac:dyDescent="0.25">
      <c r="A8" s="15"/>
      <c r="B8" s="16" t="s">
        <v>4</v>
      </c>
      <c r="C8" s="17">
        <v>3</v>
      </c>
      <c r="D8" s="18">
        <v>3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9">
        <f>SUM(C8,D8:L8)</f>
        <v>30</v>
      </c>
    </row>
    <row r="9" spans="1:21" x14ac:dyDescent="0.25">
      <c r="B9" s="21" t="s">
        <v>5</v>
      </c>
      <c r="C9" s="22">
        <f ca="1">NOW()</f>
        <v>42136.832145717592</v>
      </c>
      <c r="D9" s="22">
        <f ca="1">C10</f>
        <v>42139.832145717592</v>
      </c>
      <c r="E9" s="22">
        <f ca="1">D10</f>
        <v>42142.832145717592</v>
      </c>
      <c r="F9" s="22">
        <f t="shared" ref="F9:K9" ca="1" si="0">E10</f>
        <v>42145.832145717592</v>
      </c>
      <c r="G9" s="22">
        <f t="shared" ca="1" si="0"/>
        <v>42148.832145717592</v>
      </c>
      <c r="H9" s="22">
        <f t="shared" ca="1" si="0"/>
        <v>42151.832145717592</v>
      </c>
      <c r="I9" s="22">
        <f t="shared" ca="1" si="0"/>
        <v>42154.832145717592</v>
      </c>
      <c r="J9" s="22">
        <f t="shared" ca="1" si="0"/>
        <v>42157.832145717592</v>
      </c>
      <c r="K9" s="22">
        <f t="shared" ca="1" si="0"/>
        <v>42160.832145717592</v>
      </c>
      <c r="L9" s="22">
        <f ca="1">K10</f>
        <v>42163.832145717592</v>
      </c>
      <c r="M9" s="3"/>
      <c r="P9"/>
    </row>
    <row r="10" spans="1:21" x14ac:dyDescent="0.25">
      <c r="B10" s="21" t="s">
        <v>6</v>
      </c>
      <c r="C10" s="22">
        <f ca="1">C9+C8</f>
        <v>42139.832145717592</v>
      </c>
      <c r="D10" s="22">
        <f ca="1">D9+D8</f>
        <v>42142.832145717592</v>
      </c>
      <c r="E10" s="22">
        <f t="shared" ref="E10:K10" ca="1" si="1">E9+E8</f>
        <v>42145.832145717592</v>
      </c>
      <c r="F10" s="22">
        <f t="shared" ca="1" si="1"/>
        <v>42148.832145717592</v>
      </c>
      <c r="G10" s="22">
        <f t="shared" ca="1" si="1"/>
        <v>42151.832145717592</v>
      </c>
      <c r="H10" s="22">
        <f t="shared" ca="1" si="1"/>
        <v>42154.832145717592</v>
      </c>
      <c r="I10" s="22">
        <f t="shared" ca="1" si="1"/>
        <v>42157.832145717592</v>
      </c>
      <c r="J10" s="22">
        <f t="shared" ca="1" si="1"/>
        <v>42160.832145717592</v>
      </c>
      <c r="K10" s="22">
        <f t="shared" ca="1" si="1"/>
        <v>42163.832145717592</v>
      </c>
      <c r="L10" s="22">
        <f ca="1">L9+L8</f>
        <v>42166.832145717592</v>
      </c>
      <c r="M10" s="3"/>
      <c r="P10"/>
    </row>
    <row r="11" spans="1:21" s="25" customFormat="1" x14ac:dyDescent="0.25">
      <c r="A11" s="4"/>
      <c r="B11" s="16" t="s">
        <v>7</v>
      </c>
      <c r="C11" s="23" t="str">
        <f>REPLACE(VLOOKUP(B11,курсы!A:F,2,FALSE),3,1,",")</f>
        <v>50,7511</v>
      </c>
      <c r="D11" s="23" t="str">
        <f t="shared" ref="D11:L11" si="2">$C$11</f>
        <v>50,7511</v>
      </c>
      <c r="E11" s="23" t="str">
        <f t="shared" si="2"/>
        <v>50,7511</v>
      </c>
      <c r="F11" s="23" t="str">
        <f t="shared" si="2"/>
        <v>50,7511</v>
      </c>
      <c r="G11" s="23" t="str">
        <f t="shared" si="2"/>
        <v>50,7511</v>
      </c>
      <c r="H11" s="23" t="str">
        <f t="shared" si="2"/>
        <v>50,7511</v>
      </c>
      <c r="I11" s="23" t="str">
        <f t="shared" si="2"/>
        <v>50,7511</v>
      </c>
      <c r="J11" s="23" t="str">
        <f t="shared" si="2"/>
        <v>50,7511</v>
      </c>
      <c r="K11" s="23" t="str">
        <f t="shared" si="2"/>
        <v>50,7511</v>
      </c>
      <c r="L11" s="23" t="str">
        <f t="shared" si="2"/>
        <v>50,7511</v>
      </c>
      <c r="M11" s="24"/>
    </row>
    <row r="12" spans="1:21" s="25" customFormat="1" x14ac:dyDescent="0.25">
      <c r="A12" s="4"/>
      <c r="B12" s="16" t="s">
        <v>8</v>
      </c>
      <c r="C12" s="18">
        <v>10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24"/>
    </row>
    <row r="13" spans="1:21" s="25" customFormat="1" x14ac:dyDescent="0.25">
      <c r="A13" s="4"/>
      <c r="B13" s="16" t="s">
        <v>9</v>
      </c>
      <c r="C13" s="18">
        <v>1.5</v>
      </c>
      <c r="D13" s="18">
        <f>C13</f>
        <v>1.5</v>
      </c>
      <c r="E13" s="18">
        <f>C13</f>
        <v>1.5</v>
      </c>
      <c r="F13" s="18">
        <f>C13</f>
        <v>1.5</v>
      </c>
      <c r="G13" s="18">
        <f>C13</f>
        <v>1.5</v>
      </c>
      <c r="H13" s="18">
        <f>C13</f>
        <v>1.5</v>
      </c>
      <c r="I13" s="18">
        <f>C13</f>
        <v>1.5</v>
      </c>
      <c r="J13" s="18">
        <f>C13</f>
        <v>1.5</v>
      </c>
      <c r="K13" s="18">
        <f>C13</f>
        <v>1.5</v>
      </c>
      <c r="L13" s="18">
        <f>C13</f>
        <v>1.5</v>
      </c>
      <c r="M13" s="24"/>
    </row>
    <row r="14" spans="1:21" s="25" customFormat="1" x14ac:dyDescent="0.25">
      <c r="A14" s="4"/>
      <c r="B14" s="16" t="s">
        <v>10</v>
      </c>
      <c r="C14" s="149">
        <v>3000</v>
      </c>
      <c r="D14" s="150">
        <f>C14+J36</f>
        <v>3075</v>
      </c>
      <c r="E14" s="150">
        <f>D14+J53</f>
        <v>3166.125</v>
      </c>
      <c r="F14" s="150">
        <f>E14+J70</f>
        <v>3259.5</v>
      </c>
      <c r="G14" s="150">
        <f>F14+J87</f>
        <v>3355.125</v>
      </c>
      <c r="H14" s="150">
        <f>G14+J104</f>
        <v>3453</v>
      </c>
      <c r="I14" s="150">
        <f>H14+J121</f>
        <v>3553.125</v>
      </c>
      <c r="J14" s="150">
        <f>I14+J138</f>
        <v>3655.5</v>
      </c>
      <c r="K14" s="150">
        <f>J14+J155</f>
        <v>3760.125</v>
      </c>
      <c r="L14" s="150">
        <f>K14+J172</f>
        <v>3867</v>
      </c>
      <c r="M14" s="24"/>
    </row>
    <row r="15" spans="1:21" s="29" customFormat="1" x14ac:dyDescent="0.25">
      <c r="A15" s="9"/>
      <c r="B15" s="27" t="s">
        <v>121</v>
      </c>
      <c r="C15" s="26">
        <f t="shared" ref="C15:L15" si="3">IF(C19=TRUE,C14,0)</f>
        <v>0</v>
      </c>
      <c r="D15" s="148">
        <f t="shared" si="3"/>
        <v>0</v>
      </c>
      <c r="E15" s="148">
        <f t="shared" si="3"/>
        <v>0</v>
      </c>
      <c r="F15" s="148">
        <f t="shared" si="3"/>
        <v>0</v>
      </c>
      <c r="G15" s="148">
        <f t="shared" si="3"/>
        <v>0</v>
      </c>
      <c r="H15" s="148">
        <f t="shared" si="3"/>
        <v>0</v>
      </c>
      <c r="I15" s="148">
        <f t="shared" si="3"/>
        <v>0</v>
      </c>
      <c r="J15" s="148">
        <f t="shared" si="3"/>
        <v>0</v>
      </c>
      <c r="K15" s="148">
        <f t="shared" si="3"/>
        <v>0</v>
      </c>
      <c r="L15" s="148">
        <f t="shared" si="3"/>
        <v>0</v>
      </c>
      <c r="M15" s="28"/>
    </row>
    <row r="16" spans="1:21" s="29" customFormat="1" x14ac:dyDescent="0.25">
      <c r="A16" s="9"/>
      <c r="B16" s="16" t="s">
        <v>11</v>
      </c>
      <c r="C16" s="18">
        <v>1.4</v>
      </c>
      <c r="D16" s="18">
        <v>1.5</v>
      </c>
      <c r="E16" s="18">
        <v>1.2</v>
      </c>
      <c r="F16" s="18">
        <v>1.2</v>
      </c>
      <c r="G16" s="18">
        <v>1.2</v>
      </c>
      <c r="H16" s="18">
        <v>1.2</v>
      </c>
      <c r="I16" s="18">
        <v>1.2</v>
      </c>
      <c r="J16" s="18">
        <v>1.2</v>
      </c>
      <c r="K16" s="18">
        <v>1.2</v>
      </c>
      <c r="L16" s="18">
        <v>1.2</v>
      </c>
      <c r="M16" s="28"/>
    </row>
    <row r="17" spans="1:16" s="29" customFormat="1" x14ac:dyDescent="0.25">
      <c r="A17" s="9"/>
      <c r="B17" s="16" t="s">
        <v>120</v>
      </c>
      <c r="C17" s="18">
        <v>1</v>
      </c>
      <c r="D17" s="18"/>
      <c r="E17" s="18"/>
      <c r="F17" s="18"/>
      <c r="G17" s="18"/>
      <c r="H17" s="18"/>
      <c r="I17" s="18"/>
      <c r="J17" s="18"/>
      <c r="K17" s="18"/>
      <c r="L17" s="18"/>
      <c r="M17" s="30"/>
    </row>
    <row r="18" spans="1:16" s="33" customFormat="1" x14ac:dyDescent="0.25">
      <c r="A18" s="31"/>
      <c r="B18" s="156" t="s">
        <v>122</v>
      </c>
      <c r="C18" s="32" t="b">
        <v>1</v>
      </c>
      <c r="D18" s="32" t="b">
        <v>1</v>
      </c>
      <c r="E18" s="32" t="b">
        <v>1</v>
      </c>
      <c r="F18" s="32" t="b">
        <v>1</v>
      </c>
      <c r="G18" s="32" t="b">
        <v>1</v>
      </c>
      <c r="H18" s="32" t="b">
        <v>1</v>
      </c>
      <c r="I18" s="143" t="b">
        <v>1</v>
      </c>
      <c r="J18" s="143" t="b">
        <v>1</v>
      </c>
      <c r="K18" s="143" t="b">
        <v>1</v>
      </c>
      <c r="L18" s="143" t="b">
        <v>1</v>
      </c>
      <c r="M18" s="30"/>
    </row>
    <row r="19" spans="1:16" s="33" customFormat="1" x14ac:dyDescent="0.25">
      <c r="A19" s="31"/>
      <c r="B19" s="157" t="s">
        <v>123</v>
      </c>
      <c r="C19" s="142" t="b">
        <v>0</v>
      </c>
      <c r="D19" s="142" t="b">
        <v>0</v>
      </c>
      <c r="E19" s="142" t="b">
        <v>0</v>
      </c>
      <c r="F19" s="142" t="b">
        <v>0</v>
      </c>
      <c r="G19" s="142" t="b">
        <v>0</v>
      </c>
      <c r="H19" s="144" t="b">
        <v>0</v>
      </c>
      <c r="I19" s="144" t="b">
        <v>0</v>
      </c>
      <c r="J19" s="144" t="b">
        <v>0</v>
      </c>
      <c r="K19" s="144" t="b">
        <v>0</v>
      </c>
      <c r="L19" s="144" t="b">
        <v>0</v>
      </c>
      <c r="M19" s="30"/>
    </row>
    <row r="20" spans="1:16" s="29" customFormat="1" x14ac:dyDescent="0.25">
      <c r="A20" s="9"/>
      <c r="B20" s="146"/>
      <c r="C20" s="147"/>
      <c r="D20" s="36"/>
      <c r="G20" s="34"/>
      <c r="O20" s="30"/>
      <c r="P20" s="30"/>
    </row>
    <row r="21" spans="1:16" s="36" customFormat="1" x14ac:dyDescent="0.25">
      <c r="A21" s="37"/>
      <c r="G21" s="38"/>
      <c r="H21" s="38"/>
      <c r="I21" s="38"/>
      <c r="J21" s="38"/>
      <c r="M21" s="39"/>
      <c r="N21" s="158" t="s">
        <v>12</v>
      </c>
      <c r="O21" s="158"/>
      <c r="P21" s="158"/>
    </row>
    <row r="22" spans="1:16" s="47" customFormat="1" ht="40.5" customHeight="1" collapsed="1" x14ac:dyDescent="0.25">
      <c r="A22" s="40"/>
      <c r="B22" s="41"/>
      <c r="C22" s="41" t="s">
        <v>13</v>
      </c>
      <c r="D22" s="41" t="s">
        <v>14</v>
      </c>
      <c r="E22" s="41" t="s">
        <v>15</v>
      </c>
      <c r="F22" s="41" t="s">
        <v>16</v>
      </c>
      <c r="G22" s="41" t="s">
        <v>17</v>
      </c>
      <c r="H22" s="41" t="s">
        <v>18</v>
      </c>
      <c r="I22" s="41" t="s">
        <v>19</v>
      </c>
      <c r="J22" s="114" t="s">
        <v>20</v>
      </c>
      <c r="K22" s="42" t="s">
        <v>108</v>
      </c>
      <c r="L22" s="114" t="s">
        <v>21</v>
      </c>
      <c r="M22" s="43" t="s">
        <v>109</v>
      </c>
      <c r="N22" s="44" t="s">
        <v>22</v>
      </c>
      <c r="O22" s="45" t="s">
        <v>23</v>
      </c>
      <c r="P22" s="46" t="s">
        <v>24</v>
      </c>
    </row>
    <row r="23" spans="1:16" s="51" customFormat="1" ht="25.5" hidden="1" customHeight="1" outlineLevel="1" thickBot="1" x14ac:dyDescent="0.3">
      <c r="A23" s="15"/>
      <c r="B23" s="129" t="s">
        <v>25</v>
      </c>
      <c r="C23" s="129">
        <f>IF(OR(C8=0,C13=0),0,ROUNDDOWN($C$14/50,0)*50)</f>
        <v>3000</v>
      </c>
      <c r="D23" s="129">
        <f>IF(C23=0,0,$C$8)</f>
        <v>3</v>
      </c>
      <c r="E23" s="130">
        <f>IF(C23=0,0,$C$13)</f>
        <v>1.5</v>
      </c>
      <c r="F23" s="130">
        <f>IF(C23=0,0,(C23*(E23/100)))</f>
        <v>45</v>
      </c>
      <c r="G23" s="130">
        <f>IF(C23=0,0,(F23*D23+C23))</f>
        <v>3135</v>
      </c>
      <c r="H23" s="130">
        <f>IF(C23=0,0,G23-C23)</f>
        <v>135</v>
      </c>
      <c r="I23" s="131">
        <f>IF(AND(D23&gt;10,D23&lt;21),0.45,IF(D23&gt;=21,0.4,0.5))*H23</f>
        <v>67.5</v>
      </c>
      <c r="J23" s="115">
        <f>H23-I23</f>
        <v>67.5</v>
      </c>
      <c r="K23" s="132">
        <f>J23*$C$11</f>
        <v>3425.6992500000001</v>
      </c>
      <c r="L23" s="151">
        <f>IF(OR(C23=0,C12=0),J23,(J23/J24*L24)+(0.065/100*(C23/J24)*D23)*(J24-L24))</f>
        <v>61.335000000000001</v>
      </c>
      <c r="M23" s="133">
        <f>L23*$C$11</f>
        <v>3112.8187185000002</v>
      </c>
      <c r="N23" s="48">
        <f>J23/J36</f>
        <v>0.9</v>
      </c>
      <c r="O23" s="49">
        <f>$I$23*0.5</f>
        <v>33.75</v>
      </c>
      <c r="P23" s="50">
        <f>$I$23*0.05</f>
        <v>3.375</v>
      </c>
    </row>
    <row r="24" spans="1:16" s="68" customFormat="1" ht="15" hidden="1" customHeight="1" outlineLevel="1" x14ac:dyDescent="0.25">
      <c r="A24" s="62"/>
      <c r="B24" s="61" t="s">
        <v>26</v>
      </c>
      <c r="C24" s="63"/>
      <c r="D24" s="56"/>
      <c r="E24" s="56"/>
      <c r="F24" s="56"/>
      <c r="G24" s="56"/>
      <c r="H24" s="56"/>
      <c r="I24" s="64"/>
      <c r="J24" s="117">
        <f>C23/50</f>
        <v>60</v>
      </c>
      <c r="K24" s="65"/>
      <c r="L24" s="126">
        <f>FLOOR((J24-($C$12*J24/100)),1)</f>
        <v>54</v>
      </c>
      <c r="M24" s="66"/>
      <c r="N24" s="56"/>
      <c r="O24" s="67"/>
      <c r="P24" s="67"/>
    </row>
    <row r="25" spans="1:16" s="59" customFormat="1" ht="15.75" hidden="1" customHeight="1" outlineLevel="1" x14ac:dyDescent="0.25">
      <c r="A25" s="60"/>
      <c r="B25" s="61" t="s">
        <v>27</v>
      </c>
      <c r="C25" s="52"/>
      <c r="D25" s="52"/>
      <c r="E25" s="52"/>
      <c r="F25" s="52"/>
      <c r="G25" s="52"/>
      <c r="H25" s="52"/>
      <c r="I25" s="53"/>
      <c r="J25" s="118">
        <f>IF(C23=0,0,J23/C23)</f>
        <v>2.2499999999999999E-2</v>
      </c>
      <c r="K25" s="54"/>
      <c r="L25" s="118">
        <f>IF(C23=0,0,L23/C23)</f>
        <v>2.0445000000000001E-2</v>
      </c>
      <c r="M25" s="55"/>
      <c r="N25" s="56"/>
      <c r="O25" s="58"/>
      <c r="P25" s="58"/>
    </row>
    <row r="26" spans="1:16" ht="15.75" hidden="1" customHeight="1" outlineLevel="1" x14ac:dyDescent="0.25">
      <c r="B26" s="69" t="s">
        <v>28</v>
      </c>
      <c r="C26" s="70">
        <f>C27</f>
        <v>0</v>
      </c>
      <c r="D26" s="70">
        <f>IF(C15=0,0,$C$8)</f>
        <v>0</v>
      </c>
      <c r="E26" s="72">
        <f>IF(C15=0,0,$C$16)</f>
        <v>0</v>
      </c>
      <c r="F26" s="72">
        <f>C26*(E26/100)</f>
        <v>0</v>
      </c>
      <c r="G26" s="73">
        <f>(F26*D26+C26)*-1</f>
        <v>0</v>
      </c>
      <c r="H26" s="73">
        <f>C26+G26</f>
        <v>0</v>
      </c>
      <c r="I26" s="70"/>
      <c r="J26" s="119">
        <f>H26</f>
        <v>0</v>
      </c>
      <c r="K26" s="74"/>
      <c r="L26" s="119">
        <f>J26</f>
        <v>0</v>
      </c>
      <c r="M26" s="75"/>
      <c r="N26" s="76"/>
      <c r="O26" s="57"/>
      <c r="P26" s="57"/>
    </row>
    <row r="27" spans="1:16" ht="15.75" hidden="1" customHeight="1" outlineLevel="1" x14ac:dyDescent="0.25">
      <c r="B27" s="69" t="s">
        <v>119</v>
      </c>
      <c r="C27" s="70">
        <f>ROUNDDOWN(C$15/50,0)*50</f>
        <v>0</v>
      </c>
      <c r="D27" s="70">
        <f>$D$26</f>
        <v>0</v>
      </c>
      <c r="E27" s="72">
        <f>IF(C15=0,0,$C$13)</f>
        <v>0</v>
      </c>
      <c r="F27" s="72">
        <f>IF(C27=0,0,(C27*(E27/100)))</f>
        <v>0</v>
      </c>
      <c r="G27" s="77">
        <f>IF(C27=0,0,(F27*D27+C27))</f>
        <v>0</v>
      </c>
      <c r="H27" s="77">
        <f>IF(C27=0,0,G27-C27)</f>
        <v>0</v>
      </c>
      <c r="I27" s="77">
        <f>IF(AND(D27&gt;10,D27&lt;21),0.45,IF(D27&gt;=21,0.4,0.5))*H27</f>
        <v>0</v>
      </c>
      <c r="J27" s="116">
        <f>H27-I27</f>
        <v>0</v>
      </c>
      <c r="K27" s="78">
        <f>J27*$C$11</f>
        <v>0</v>
      </c>
      <c r="L27" s="116">
        <f>IF($C$27=0,J27,(J27/J28*L28)+(0.065/100*(C27/J28)*D27)*(J28-L28))</f>
        <v>0</v>
      </c>
      <c r="M27" s="78">
        <f>L27*$C$11</f>
        <v>0</v>
      </c>
      <c r="N27" s="76"/>
      <c r="O27" s="57"/>
      <c r="P27" s="57"/>
    </row>
    <row r="28" spans="1:16" ht="15.75" hidden="1" customHeight="1" outlineLevel="1" collapsed="1" thickBot="1" x14ac:dyDescent="0.3">
      <c r="B28" s="61" t="s">
        <v>26</v>
      </c>
      <c r="C28" s="79"/>
      <c r="D28" s="52"/>
      <c r="E28" s="52"/>
      <c r="F28" s="52"/>
      <c r="G28" s="52"/>
      <c r="H28" s="52"/>
      <c r="I28" s="52"/>
      <c r="J28" s="120">
        <f>C27/50</f>
        <v>0</v>
      </c>
      <c r="K28" s="80"/>
      <c r="L28" s="127">
        <f>FLOOR((J28-($C$12*J28/100)),1)</f>
        <v>0</v>
      </c>
      <c r="M28" s="55"/>
      <c r="N28" s="56"/>
      <c r="O28" s="57"/>
      <c r="P28" s="57"/>
    </row>
    <row r="29" spans="1:16" ht="24" hidden="1" customHeight="1" outlineLevel="1" thickBot="1" x14ac:dyDescent="0.3">
      <c r="B29" s="129" t="s">
        <v>29</v>
      </c>
      <c r="C29" s="129"/>
      <c r="D29" s="129"/>
      <c r="E29" s="129"/>
      <c r="F29" s="129"/>
      <c r="G29" s="134">
        <f>G26+G27</f>
        <v>0</v>
      </c>
      <c r="H29" s="134">
        <f>H26+H27</f>
        <v>0</v>
      </c>
      <c r="I29" s="135">
        <f>I26+I27</f>
        <v>0</v>
      </c>
      <c r="J29" s="121">
        <f>J26+J27</f>
        <v>0</v>
      </c>
      <c r="K29" s="136">
        <f>J29*$C$11</f>
        <v>0</v>
      </c>
      <c r="L29" s="128">
        <f>L26+L27</f>
        <v>0</v>
      </c>
      <c r="M29" s="137">
        <f>L29*$C$11</f>
        <v>0</v>
      </c>
      <c r="N29" s="48">
        <f>J29/J36</f>
        <v>0</v>
      </c>
      <c r="O29" s="57"/>
      <c r="P29" s="57"/>
    </row>
    <row r="30" spans="1:16" ht="15.75" hidden="1" customHeight="1" outlineLevel="1" x14ac:dyDescent="0.25">
      <c r="B30" s="61" t="s">
        <v>30</v>
      </c>
      <c r="C30" s="52"/>
      <c r="D30" s="52"/>
      <c r="E30" s="52"/>
      <c r="F30" s="52"/>
      <c r="G30" s="52"/>
      <c r="H30" s="52"/>
      <c r="I30" s="52"/>
      <c r="J30" s="122">
        <f>IF(C23=0,0,J29/C23)</f>
        <v>0</v>
      </c>
      <c r="K30" s="80"/>
      <c r="L30" s="122">
        <f>IF(C23=0,0,L29/C23)</f>
        <v>0</v>
      </c>
      <c r="M30" s="55"/>
      <c r="N30" s="56"/>
      <c r="O30" s="57"/>
      <c r="P30" s="57"/>
    </row>
    <row r="31" spans="1:16" s="82" customFormat="1" ht="15.75" hidden="1" customHeight="1" outlineLevel="1" x14ac:dyDescent="0.25">
      <c r="A31" s="4"/>
      <c r="B31" s="69" t="s">
        <v>31</v>
      </c>
      <c r="C31" s="70">
        <f>IF(AND($C$18=TRUE,C8&gt;0,C12&gt;0,C13&gt;0,C14&gt;0),(IF(($C$14+$C$15)*3&lt;3000,ROUNDDOWN((($C$14+$C$15)*3)/50,0)*50,3000)),0)</f>
        <v>3000</v>
      </c>
      <c r="D31" s="70">
        <f>IF(C31=0,0,$C$8+$C$17)</f>
        <v>4</v>
      </c>
      <c r="E31" s="72">
        <f>IF(D31=0,0,0.5)</f>
        <v>0.5</v>
      </c>
      <c r="F31" s="72">
        <f>C31*(E31/100)</f>
        <v>15</v>
      </c>
      <c r="G31" s="73">
        <f>(F31*D31+C31)*-1</f>
        <v>-3060</v>
      </c>
      <c r="H31" s="73">
        <f>C31+G31</f>
        <v>-60</v>
      </c>
      <c r="I31" s="70"/>
      <c r="J31" s="119">
        <f>H31</f>
        <v>-60</v>
      </c>
      <c r="K31" s="74"/>
      <c r="L31" s="119">
        <f>J31</f>
        <v>-60</v>
      </c>
      <c r="M31" s="75"/>
      <c r="N31" s="76"/>
      <c r="O31" s="81"/>
      <c r="P31" s="81"/>
    </row>
    <row r="32" spans="1:16" s="82" customFormat="1" ht="15.75" hidden="1" customHeight="1" outlineLevel="1" x14ac:dyDescent="0.25">
      <c r="A32" s="4"/>
      <c r="B32" s="69" t="s">
        <v>32</v>
      </c>
      <c r="C32" s="70">
        <f>C31</f>
        <v>3000</v>
      </c>
      <c r="D32" s="70">
        <f>IF(C32=0,0,$C$8)</f>
        <v>3</v>
      </c>
      <c r="E32" s="72">
        <f>IF(D32=0,0,$C$13)</f>
        <v>1.5</v>
      </c>
      <c r="F32" s="72">
        <f>IF(C32=0,0,C32*(E32/100))</f>
        <v>45</v>
      </c>
      <c r="G32" s="70">
        <f>IF(C32=0,0,F32*D32+C32)</f>
        <v>3135</v>
      </c>
      <c r="H32" s="77">
        <f>IF(C32=0,0,G32-C32)</f>
        <v>135</v>
      </c>
      <c r="I32" s="77">
        <f>IF(AND(D32&gt;10,D32&lt;21),0.45,IF(D32&gt;=21,0.4,0.5))*H32</f>
        <v>67.5</v>
      </c>
      <c r="J32" s="116">
        <f>H32-I32</f>
        <v>67.5</v>
      </c>
      <c r="K32" s="78"/>
      <c r="L32" s="116">
        <f>IF(OR($C$12=0,$C$32=0),J32,(J32/J33*L33)+(0.065/100*(C32/J33)*D32)*(J33-L33))</f>
        <v>61.335000000000001</v>
      </c>
      <c r="M32" s="75"/>
      <c r="N32" s="76"/>
      <c r="O32" s="81"/>
      <c r="P32" s="81"/>
    </row>
    <row r="33" spans="1:16" s="86" customFormat="1" ht="15.75" hidden="1" customHeight="1" outlineLevel="1" collapsed="1" thickBot="1" x14ac:dyDescent="0.3">
      <c r="A33" s="83"/>
      <c r="B33" s="61" t="s">
        <v>26</v>
      </c>
      <c r="C33" s="63"/>
      <c r="D33" s="56"/>
      <c r="E33" s="56"/>
      <c r="F33" s="56"/>
      <c r="G33" s="56"/>
      <c r="H33" s="56"/>
      <c r="I33" s="56"/>
      <c r="J33" s="120">
        <f>C32/50</f>
        <v>60</v>
      </c>
      <c r="K33" s="84"/>
      <c r="L33" s="120">
        <f>FLOOR((J33-($C$12*J33/100)),1)</f>
        <v>54</v>
      </c>
      <c r="M33" s="66"/>
      <c r="N33" s="56"/>
      <c r="O33" s="85"/>
      <c r="P33" s="85"/>
    </row>
    <row r="34" spans="1:16" s="89" customFormat="1" ht="23.25" hidden="1" customHeight="1" outlineLevel="1" thickBot="1" x14ac:dyDescent="0.3">
      <c r="A34" s="87"/>
      <c r="B34" s="129" t="s">
        <v>33</v>
      </c>
      <c r="C34" s="138"/>
      <c r="D34" s="138"/>
      <c r="E34" s="138"/>
      <c r="F34" s="138"/>
      <c r="G34" s="130">
        <f>G32+G31</f>
        <v>75</v>
      </c>
      <c r="H34" s="130">
        <f>H32+H31</f>
        <v>75</v>
      </c>
      <c r="I34" s="131">
        <f>I32</f>
        <v>67.5</v>
      </c>
      <c r="J34" s="123">
        <f>J32+J31</f>
        <v>7.5</v>
      </c>
      <c r="K34" s="132">
        <f>J34*$C$11</f>
        <v>380.63325000000003</v>
      </c>
      <c r="L34" s="125">
        <f>L32+L31</f>
        <v>1.3350000000000009</v>
      </c>
      <c r="M34" s="132">
        <f>L34*$C11</f>
        <v>67.752718500000043</v>
      </c>
      <c r="N34" s="48">
        <f>J34/J36</f>
        <v>0.1</v>
      </c>
      <c r="O34" s="88"/>
      <c r="P34" s="88"/>
    </row>
    <row r="35" spans="1:16" ht="16.5" hidden="1" customHeight="1" outlineLevel="1" thickBot="1" x14ac:dyDescent="0.3">
      <c r="B35" s="61" t="s">
        <v>34</v>
      </c>
      <c r="C35" s="52"/>
      <c r="D35" s="52"/>
      <c r="E35" s="52"/>
      <c r="F35" s="52"/>
      <c r="G35" s="52"/>
      <c r="H35" s="52"/>
      <c r="I35" s="52"/>
      <c r="J35" s="124">
        <f>IF(C23=0,0,J34/C23)</f>
        <v>2.5000000000000001E-3</v>
      </c>
      <c r="K35" s="80"/>
      <c r="L35" s="124">
        <f>IF(C23=0,0,L34/C23)</f>
        <v>4.450000000000003E-4</v>
      </c>
      <c r="M35" s="55"/>
      <c r="N35" s="56"/>
      <c r="O35" s="57"/>
      <c r="P35" s="57"/>
    </row>
    <row r="36" spans="1:16" s="92" customFormat="1" ht="28.5" hidden="1" customHeight="1" outlineLevel="1" thickBot="1" x14ac:dyDescent="0.3">
      <c r="A36" s="15"/>
      <c r="B36" s="139" t="s">
        <v>35</v>
      </c>
      <c r="C36" s="140">
        <f>C23+C32-C31+C26-C27</f>
        <v>3000</v>
      </c>
      <c r="D36" s="129"/>
      <c r="E36" s="129"/>
      <c r="F36" s="129"/>
      <c r="G36" s="134">
        <f t="shared" ref="G36:M36" si="4">G23+G34+G29</f>
        <v>3210</v>
      </c>
      <c r="H36" s="134">
        <f t="shared" si="4"/>
        <v>210</v>
      </c>
      <c r="I36" s="135">
        <f t="shared" si="4"/>
        <v>135</v>
      </c>
      <c r="J36" s="121">
        <f t="shared" si="4"/>
        <v>75</v>
      </c>
      <c r="K36" s="136">
        <f t="shared" si="4"/>
        <v>3806.3325</v>
      </c>
      <c r="L36" s="128">
        <f t="shared" si="4"/>
        <v>62.67</v>
      </c>
      <c r="M36" s="137">
        <f t="shared" si="4"/>
        <v>3180.5714370000001</v>
      </c>
      <c r="N36" s="90"/>
      <c r="O36" s="91"/>
      <c r="P36" s="91"/>
    </row>
    <row r="37" spans="1:16" s="82" customFormat="1" ht="15.75" hidden="1" customHeight="1" outlineLevel="1" x14ac:dyDescent="0.25">
      <c r="A37" s="4"/>
      <c r="B37" s="93" t="s">
        <v>36</v>
      </c>
      <c r="C37" s="70"/>
      <c r="D37" s="94"/>
      <c r="E37" s="95"/>
      <c r="F37" s="95"/>
      <c r="G37" s="95"/>
      <c r="H37" s="95"/>
      <c r="I37" s="95"/>
      <c r="J37" s="124">
        <f>IF(C23=0,0,J36/C23)</f>
        <v>2.5000000000000001E-2</v>
      </c>
      <c r="K37" s="96"/>
      <c r="L37" s="124">
        <f>IF(C23=0,0,L36/C23)</f>
        <v>2.0889999999999999E-2</v>
      </c>
      <c r="M37" s="97"/>
      <c r="N37" s="98"/>
      <c r="O37" s="81"/>
      <c r="P37" s="81"/>
    </row>
    <row r="38" spans="1:16" s="82" customFormat="1" ht="15.75" hidden="1" customHeight="1" outlineLevel="1" x14ac:dyDescent="0.25">
      <c r="A38" s="4"/>
      <c r="B38" s="99" t="s">
        <v>37</v>
      </c>
      <c r="C38" s="70"/>
      <c r="D38" s="100"/>
      <c r="E38" s="56"/>
      <c r="F38" s="56"/>
      <c r="G38" s="56"/>
      <c r="H38" s="56"/>
      <c r="I38" s="56"/>
      <c r="J38" s="117">
        <f>J24+J28+J33</f>
        <v>120</v>
      </c>
      <c r="K38" s="84"/>
      <c r="L38" s="117">
        <f>L24+L28+L33</f>
        <v>108</v>
      </c>
      <c r="M38" s="66"/>
      <c r="N38" s="56"/>
      <c r="O38" s="81"/>
      <c r="P38" s="81"/>
    </row>
    <row r="39" spans="1:16" ht="15.75" hidden="1" customHeight="1" outlineLevel="1" thickBot="1" x14ac:dyDescent="0.3"/>
    <row r="40" spans="1:16" s="51" customFormat="1" ht="25.5" hidden="1" customHeight="1" outlineLevel="1" thickBot="1" x14ac:dyDescent="0.3">
      <c r="A40" s="15"/>
      <c r="B40" s="129" t="s">
        <v>25</v>
      </c>
      <c r="C40" s="129">
        <f>IF(OR(D8=0,D13=0),0,ROUNDDOWN($D$14/50,0)*50)</f>
        <v>3050</v>
      </c>
      <c r="D40" s="129">
        <f>IF(C40=0,0,$D$8)</f>
        <v>3</v>
      </c>
      <c r="E40" s="130">
        <f>IF(C40=0,0,$D$13)</f>
        <v>1.5</v>
      </c>
      <c r="F40" s="130">
        <f>IF(C40=0,0,(C40*(E40/100)))</f>
        <v>45.75</v>
      </c>
      <c r="G40" s="130">
        <f>IF(C40=0,0,(F40*D40+C40))</f>
        <v>3187.25</v>
      </c>
      <c r="H40" s="130">
        <f>IF(C40=0,0,G40-C40)</f>
        <v>137.25</v>
      </c>
      <c r="I40" s="131">
        <f>IF(AND(D40&gt;10,D40&lt;21),0.45,IF(D40&gt;=21,0.4,0.5))*H40</f>
        <v>68.625</v>
      </c>
      <c r="J40" s="115">
        <f>H40-I40</f>
        <v>68.625</v>
      </c>
      <c r="K40" s="132">
        <f>J40*$D$11</f>
        <v>3482.7942375000002</v>
      </c>
      <c r="L40" s="151">
        <f>IF(OR(C40=0,D12=0),J40,(J40/J41*L41)+(0.065/100*(C40/J41)*D40)*(J41-L41))</f>
        <v>67.597499999999997</v>
      </c>
      <c r="M40" s="133">
        <f>L40*$D$11</f>
        <v>3430.6474822499999</v>
      </c>
      <c r="N40" s="48">
        <f>J40/J53</f>
        <v>0.75308641975308643</v>
      </c>
      <c r="O40" s="49">
        <f>$I$23*0.5</f>
        <v>33.75</v>
      </c>
      <c r="P40" s="50">
        <f>$I$23*0.05</f>
        <v>3.375</v>
      </c>
    </row>
    <row r="41" spans="1:16" s="68" customFormat="1" ht="15" hidden="1" customHeight="1" outlineLevel="1" x14ac:dyDescent="0.25">
      <c r="A41" s="62"/>
      <c r="B41" s="61" t="s">
        <v>26</v>
      </c>
      <c r="C41" s="63"/>
      <c r="D41" s="56"/>
      <c r="E41" s="56"/>
      <c r="F41" s="56"/>
      <c r="G41" s="56"/>
      <c r="H41" s="56"/>
      <c r="I41" s="64"/>
      <c r="J41" s="117">
        <f>C40/50</f>
        <v>61</v>
      </c>
      <c r="K41" s="65"/>
      <c r="L41" s="126">
        <f>FLOOR((J41-($D$12*J41/100)),1)</f>
        <v>60</v>
      </c>
      <c r="M41" s="66"/>
      <c r="N41" s="56"/>
      <c r="O41" s="67"/>
      <c r="P41" s="67"/>
    </row>
    <row r="42" spans="1:16" s="59" customFormat="1" ht="15.75" hidden="1" customHeight="1" outlineLevel="1" x14ac:dyDescent="0.25">
      <c r="A42" s="60"/>
      <c r="B42" s="61" t="s">
        <v>27</v>
      </c>
      <c r="C42" s="52"/>
      <c r="D42" s="52"/>
      <c r="E42" s="52"/>
      <c r="F42" s="52"/>
      <c r="G42" s="52"/>
      <c r="H42" s="52"/>
      <c r="I42" s="53"/>
      <c r="J42" s="118">
        <f>IF(C40=0,0,J40/C40)</f>
        <v>2.2499999999999999E-2</v>
      </c>
      <c r="K42" s="54"/>
      <c r="L42" s="118">
        <f>IF(C40=0,0,L40/C40)</f>
        <v>2.2163114754098361E-2</v>
      </c>
      <c r="M42" s="55"/>
      <c r="N42" s="56"/>
      <c r="O42" s="58"/>
      <c r="P42" s="58"/>
    </row>
    <row r="43" spans="1:16" ht="15.75" hidden="1" customHeight="1" outlineLevel="1" x14ac:dyDescent="0.25">
      <c r="B43" s="69" t="s">
        <v>28</v>
      </c>
      <c r="C43" s="70">
        <f>C44</f>
        <v>0</v>
      </c>
      <c r="D43" s="70">
        <f>IF(C43=0,0,$D$8)</f>
        <v>0</v>
      </c>
      <c r="E43" s="72">
        <f>IF(C43=0,0,$D$16)</f>
        <v>0</v>
      </c>
      <c r="F43" s="72">
        <f>C43*(E43/100)</f>
        <v>0</v>
      </c>
      <c r="G43" s="73">
        <f>(F43*D43+C43)*-1</f>
        <v>0</v>
      </c>
      <c r="H43" s="73">
        <f>C43+G43</f>
        <v>0</v>
      </c>
      <c r="I43" s="70"/>
      <c r="J43" s="119">
        <f>H43</f>
        <v>0</v>
      </c>
      <c r="K43" s="74"/>
      <c r="L43" s="119">
        <f>J43</f>
        <v>0</v>
      </c>
      <c r="M43" s="75"/>
      <c r="N43" s="76"/>
      <c r="O43" s="57"/>
      <c r="P43" s="57"/>
    </row>
    <row r="44" spans="1:16" ht="15.75" hidden="1" customHeight="1" outlineLevel="1" x14ac:dyDescent="0.25">
      <c r="B44" s="69" t="s">
        <v>119</v>
      </c>
      <c r="C44" s="70">
        <f>ROUNDDOWN(D$15/50,0)*50</f>
        <v>0</v>
      </c>
      <c r="D44" s="70">
        <f>D43</f>
        <v>0</v>
      </c>
      <c r="E44" s="72">
        <f>IF(C44=0,0,$D$13)</f>
        <v>0</v>
      </c>
      <c r="F44" s="72">
        <f>IF(C44=0,0,(C44*(E44/100)))</f>
        <v>0</v>
      </c>
      <c r="G44" s="77">
        <f>IF(C44=0,0,(F44*D44+C44))</f>
        <v>0</v>
      </c>
      <c r="H44" s="77">
        <f>IF(C44=0,0,G44-C44)</f>
        <v>0</v>
      </c>
      <c r="I44" s="77">
        <f>IF(AND(D44&gt;10,D44&lt;21),0.45,IF(D44&gt;=21,0.4,0.5))*H44</f>
        <v>0</v>
      </c>
      <c r="J44" s="116">
        <f>H44-I44</f>
        <v>0</v>
      </c>
      <c r="K44" s="78">
        <f>J44*$D$11</f>
        <v>0</v>
      </c>
      <c r="L44" s="116">
        <f>IF($D$15=0,J44,(J44/J45*L45)+(0.065/100*(C44/J45)*D44)*(J45-L45))</f>
        <v>0</v>
      </c>
      <c r="M44" s="78">
        <f>L44*$D$11</f>
        <v>0</v>
      </c>
      <c r="N44" s="76"/>
      <c r="O44" s="57"/>
      <c r="P44" s="57"/>
    </row>
    <row r="45" spans="1:16" ht="15.75" hidden="1" customHeight="1" outlineLevel="1" collapsed="1" thickBot="1" x14ac:dyDescent="0.3">
      <c r="B45" s="61" t="s">
        <v>26</v>
      </c>
      <c r="C45" s="79"/>
      <c r="D45" s="52"/>
      <c r="E45" s="52"/>
      <c r="F45" s="52"/>
      <c r="G45" s="52"/>
      <c r="H45" s="52"/>
      <c r="I45" s="52"/>
      <c r="J45" s="120">
        <f>C44/50</f>
        <v>0</v>
      </c>
      <c r="K45" s="80"/>
      <c r="L45" s="127">
        <f>FLOOR((J45-($D$12*J45/100)),1)</f>
        <v>0</v>
      </c>
      <c r="M45" s="55"/>
      <c r="N45" s="56"/>
      <c r="O45" s="57"/>
      <c r="P45" s="57"/>
    </row>
    <row r="46" spans="1:16" ht="24" hidden="1" customHeight="1" outlineLevel="1" thickBot="1" x14ac:dyDescent="0.3">
      <c r="B46" s="129" t="s">
        <v>29</v>
      </c>
      <c r="C46" s="129"/>
      <c r="D46" s="129"/>
      <c r="E46" s="129"/>
      <c r="F46" s="129"/>
      <c r="G46" s="134">
        <f>G43+G44</f>
        <v>0</v>
      </c>
      <c r="H46" s="134">
        <f>H43+H44</f>
        <v>0</v>
      </c>
      <c r="I46" s="135">
        <f>I43+I44</f>
        <v>0</v>
      </c>
      <c r="J46" s="121">
        <f>J43+J44</f>
        <v>0</v>
      </c>
      <c r="K46" s="136">
        <f>J46*$D$11</f>
        <v>0</v>
      </c>
      <c r="L46" s="128">
        <f>L43+L44</f>
        <v>0</v>
      </c>
      <c r="M46" s="137">
        <f>L46*$D$11</f>
        <v>0</v>
      </c>
      <c r="N46" s="48">
        <f>J46/J53</f>
        <v>0</v>
      </c>
      <c r="O46" s="57"/>
      <c r="P46" s="57"/>
    </row>
    <row r="47" spans="1:16" ht="15.75" hidden="1" customHeight="1" outlineLevel="1" x14ac:dyDescent="0.25">
      <c r="B47" s="61" t="s">
        <v>30</v>
      </c>
      <c r="C47" s="52"/>
      <c r="D47" s="52"/>
      <c r="E47" s="52"/>
      <c r="F47" s="52"/>
      <c r="G47" s="52"/>
      <c r="H47" s="52"/>
      <c r="I47" s="52"/>
      <c r="J47" s="122">
        <f>IF(C40=0,0,J46/C40)</f>
        <v>0</v>
      </c>
      <c r="K47" s="80"/>
      <c r="L47" s="122">
        <f>IF(C40=0,0,L46/C40)</f>
        <v>0</v>
      </c>
      <c r="M47" s="55"/>
      <c r="N47" s="56"/>
      <c r="O47" s="57"/>
      <c r="P47" s="57"/>
    </row>
    <row r="48" spans="1:16" s="82" customFormat="1" ht="15.75" hidden="1" customHeight="1" outlineLevel="1" x14ac:dyDescent="0.25">
      <c r="A48" s="4"/>
      <c r="B48" s="69" t="s">
        <v>31</v>
      </c>
      <c r="C48" s="70">
        <f>IF(AND($D$18=TRUE,D8&gt;0,D12&gt;0,D13&gt;0,D14&gt;0),(IF(($D$14+$D$15)*3&lt;3000,ROUNDDOWN((($D$14+$D$15)*3)/50,0)*50,3000)),0)</f>
        <v>3000</v>
      </c>
      <c r="D48" s="71">
        <f>IF(C48=0,0,$D$8+$D$17)</f>
        <v>3</v>
      </c>
      <c r="E48" s="72">
        <f>IF(C48=0,0,0.5)</f>
        <v>0.5</v>
      </c>
      <c r="F48" s="72">
        <f>C48*(E48/100)</f>
        <v>15</v>
      </c>
      <c r="G48" s="73">
        <f>(F48*D48+C48)*-1</f>
        <v>-3045</v>
      </c>
      <c r="H48" s="73">
        <f>C48+G48</f>
        <v>-45</v>
      </c>
      <c r="I48" s="70"/>
      <c r="J48" s="119">
        <f>H48</f>
        <v>-45</v>
      </c>
      <c r="K48" s="74"/>
      <c r="L48" s="119">
        <f>J48</f>
        <v>-45</v>
      </c>
      <c r="M48" s="75"/>
      <c r="N48" s="76"/>
      <c r="O48" s="81"/>
      <c r="P48" s="81"/>
    </row>
    <row r="49" spans="1:16" s="82" customFormat="1" ht="15.75" hidden="1" customHeight="1" outlineLevel="1" x14ac:dyDescent="0.25">
      <c r="A49" s="4"/>
      <c r="B49" s="69" t="s">
        <v>32</v>
      </c>
      <c r="C49" s="70">
        <f>C48</f>
        <v>3000</v>
      </c>
      <c r="D49" s="71">
        <f>IF(C49=0,0,D40)</f>
        <v>3</v>
      </c>
      <c r="E49" s="72">
        <f>IF(C49=0,0,E40)</f>
        <v>1.5</v>
      </c>
      <c r="F49" s="72">
        <f>IF(C49=0,0,C49*(E49/100))</f>
        <v>45</v>
      </c>
      <c r="G49" s="70">
        <f>IF(C49=0,0,F49*D49+C49)</f>
        <v>3135</v>
      </c>
      <c r="H49" s="77">
        <f>IF(C49=0,0,G49-C49)</f>
        <v>135</v>
      </c>
      <c r="I49" s="77">
        <f>IF(AND(D49&gt;10,D49&lt;21),0.45,IF(D49&gt;=21,0.4,0.5))*H49</f>
        <v>67.5</v>
      </c>
      <c r="J49" s="116">
        <f>H49-I49</f>
        <v>67.5</v>
      </c>
      <c r="K49" s="78"/>
      <c r="L49" s="116">
        <f>IF(C49=0,J49,(J49/J50*L50)+(0.065/100*(C49/J50)*D49)*(J50-L50))</f>
        <v>66.472499999999997</v>
      </c>
      <c r="M49" s="75"/>
      <c r="N49" s="76"/>
      <c r="O49" s="81"/>
      <c r="P49" s="81"/>
    </row>
    <row r="50" spans="1:16" s="86" customFormat="1" ht="15.75" hidden="1" customHeight="1" outlineLevel="1" collapsed="1" thickBot="1" x14ac:dyDescent="0.3">
      <c r="A50" s="83"/>
      <c r="B50" s="61" t="s">
        <v>26</v>
      </c>
      <c r="C50" s="63"/>
      <c r="D50" s="56"/>
      <c r="E50" s="56"/>
      <c r="F50" s="56"/>
      <c r="G50" s="56"/>
      <c r="H50" s="56"/>
      <c r="I50" s="56"/>
      <c r="J50" s="120">
        <f>C49/50</f>
        <v>60</v>
      </c>
      <c r="K50" s="84"/>
      <c r="L50" s="120">
        <f>FLOOR((J50-($D$12*J50/100)),1)</f>
        <v>59</v>
      </c>
      <c r="M50" s="66"/>
      <c r="N50" s="56"/>
      <c r="O50" s="85"/>
      <c r="P50" s="85"/>
    </row>
    <row r="51" spans="1:16" s="89" customFormat="1" ht="23.25" hidden="1" customHeight="1" outlineLevel="1" thickBot="1" x14ac:dyDescent="0.3">
      <c r="A51" s="87"/>
      <c r="B51" s="129" t="s">
        <v>33</v>
      </c>
      <c r="C51" s="138"/>
      <c r="D51" s="138"/>
      <c r="E51" s="138"/>
      <c r="F51" s="138"/>
      <c r="G51" s="130">
        <f>G49+G48</f>
        <v>90</v>
      </c>
      <c r="H51" s="130">
        <f>H49+H48</f>
        <v>90</v>
      </c>
      <c r="I51" s="131">
        <f>I49</f>
        <v>67.5</v>
      </c>
      <c r="J51" s="123">
        <f>J49+J48</f>
        <v>22.5</v>
      </c>
      <c r="K51" s="132">
        <f>J51*$D$11</f>
        <v>1141.89975</v>
      </c>
      <c r="L51" s="125">
        <f>L49+L48</f>
        <v>21.472499999999997</v>
      </c>
      <c r="M51" s="132">
        <f>L51*$D$11</f>
        <v>1089.7529947499997</v>
      </c>
      <c r="N51" s="48">
        <f>J51/J53</f>
        <v>0.24691358024691357</v>
      </c>
      <c r="O51" s="88"/>
      <c r="P51" s="88"/>
    </row>
    <row r="52" spans="1:16" ht="16.5" hidden="1" customHeight="1" outlineLevel="1" thickBot="1" x14ac:dyDescent="0.3">
      <c r="B52" s="61" t="s">
        <v>34</v>
      </c>
      <c r="C52" s="52"/>
      <c r="D52" s="52"/>
      <c r="E52" s="52"/>
      <c r="F52" s="52"/>
      <c r="G52" s="52"/>
      <c r="H52" s="52"/>
      <c r="I52" s="52"/>
      <c r="J52" s="124">
        <f>IF(C40=0,0,J51/C40)</f>
        <v>7.3770491803278691E-3</v>
      </c>
      <c r="K52" s="80"/>
      <c r="L52" s="124">
        <f>IF(C40=0,0,L51/C40)</f>
        <v>7.0401639344262286E-3</v>
      </c>
      <c r="M52" s="55"/>
      <c r="N52" s="56"/>
      <c r="O52" s="57"/>
      <c r="P52" s="57"/>
    </row>
    <row r="53" spans="1:16" s="92" customFormat="1" ht="28.5" hidden="1" customHeight="1" outlineLevel="1" thickBot="1" x14ac:dyDescent="0.3">
      <c r="A53" s="15"/>
      <c r="B53" s="139" t="s">
        <v>35</v>
      </c>
      <c r="C53" s="140">
        <f>C40+C49-C48+C43-C44</f>
        <v>3050</v>
      </c>
      <c r="D53" s="129"/>
      <c r="E53" s="129"/>
      <c r="F53" s="129"/>
      <c r="G53" s="134">
        <f t="shared" ref="G53:M53" si="5">G40+G51+G46</f>
        <v>3277.25</v>
      </c>
      <c r="H53" s="134">
        <f t="shared" si="5"/>
        <v>227.25</v>
      </c>
      <c r="I53" s="135">
        <f t="shared" si="5"/>
        <v>136.125</v>
      </c>
      <c r="J53" s="121">
        <f t="shared" si="5"/>
        <v>91.125</v>
      </c>
      <c r="K53" s="136">
        <f t="shared" si="5"/>
        <v>4624.6939875000007</v>
      </c>
      <c r="L53" s="128">
        <f>L40+L51+L46</f>
        <v>89.07</v>
      </c>
      <c r="M53" s="137">
        <f t="shared" si="5"/>
        <v>4520.4004769999992</v>
      </c>
      <c r="N53" s="90"/>
      <c r="O53" s="91"/>
      <c r="P53" s="91"/>
    </row>
    <row r="54" spans="1:16" s="82" customFormat="1" ht="15.75" hidden="1" customHeight="1" outlineLevel="1" x14ac:dyDescent="0.25">
      <c r="A54" s="4"/>
      <c r="B54" s="93" t="s">
        <v>36</v>
      </c>
      <c r="C54" s="70"/>
      <c r="D54" s="94"/>
      <c r="E54" s="95"/>
      <c r="F54" s="95"/>
      <c r="G54" s="95"/>
      <c r="H54" s="95"/>
      <c r="I54" s="95"/>
      <c r="J54" s="124">
        <f>IF(C40=0,0,J53/C40)</f>
        <v>2.987704918032787E-2</v>
      </c>
      <c r="K54" s="96"/>
      <c r="L54" s="124">
        <f>IF(C40=0,0,L53/C40)</f>
        <v>2.9203278688524587E-2</v>
      </c>
      <c r="M54" s="97"/>
      <c r="N54" s="98"/>
      <c r="O54" s="81"/>
      <c r="P54" s="81"/>
    </row>
    <row r="55" spans="1:16" s="82" customFormat="1" ht="15.75" hidden="1" customHeight="1" outlineLevel="1" x14ac:dyDescent="0.25">
      <c r="A55" s="4"/>
      <c r="B55" s="99" t="s">
        <v>37</v>
      </c>
      <c r="C55" s="70"/>
      <c r="D55" s="100"/>
      <c r="E55" s="56"/>
      <c r="F55" s="56"/>
      <c r="G55" s="56"/>
      <c r="H55" s="56"/>
      <c r="I55" s="56"/>
      <c r="J55" s="117">
        <f>J41+J45+J50</f>
        <v>121</v>
      </c>
      <c r="K55" s="84"/>
      <c r="L55" s="117">
        <f>L41+L45+L50</f>
        <v>119</v>
      </c>
      <c r="M55" s="66"/>
      <c r="N55" s="56"/>
      <c r="O55" s="81"/>
      <c r="P55" s="81"/>
    </row>
    <row r="56" spans="1:16" ht="15.75" hidden="1" customHeight="1" outlineLevel="1" thickBot="1" x14ac:dyDescent="0.3"/>
    <row r="57" spans="1:16" s="51" customFormat="1" ht="25.5" hidden="1" customHeight="1" outlineLevel="1" thickBot="1" x14ac:dyDescent="0.3">
      <c r="A57" s="15"/>
      <c r="B57" s="129" t="s">
        <v>25</v>
      </c>
      <c r="C57" s="129">
        <f>IF(OR(E8=0,E13=0),0,ROUNDDOWN($E$14/50,0)*50)</f>
        <v>3150</v>
      </c>
      <c r="D57" s="129">
        <f>IF(C57=0,0,$E$8)</f>
        <v>3</v>
      </c>
      <c r="E57" s="130">
        <f>IF(C57=0,0,$E$13)</f>
        <v>1.5</v>
      </c>
      <c r="F57" s="130">
        <f>IF(C57=0,0,(C57*(E57/100)))</f>
        <v>47.25</v>
      </c>
      <c r="G57" s="130">
        <f>IF(C57=0,0,(F57*D57+C57))</f>
        <v>3291.75</v>
      </c>
      <c r="H57" s="130">
        <f>IF(C57=0,0,G57-C57)</f>
        <v>141.75</v>
      </c>
      <c r="I57" s="131">
        <f>IF(AND(D57&gt;10,D57&lt;21),0.45,IF(D57&gt;=21,0.4,0.5))*H57</f>
        <v>70.875</v>
      </c>
      <c r="J57" s="115">
        <f>H57-I57</f>
        <v>70.875</v>
      </c>
      <c r="K57" s="132">
        <f>J57*$C$11</f>
        <v>3596.9842125</v>
      </c>
      <c r="L57" s="151">
        <f>IF(OR(C57=0,E12=0),J57,(J57/J58*L58)+(0.065/100*(C57/J58)*D57)*(J58-L58))</f>
        <v>69.847499999999997</v>
      </c>
      <c r="M57" s="133">
        <f>L57*$E$11</f>
        <v>3544.8374572499997</v>
      </c>
      <c r="N57" s="48">
        <f>J57/J70</f>
        <v>0.75903614457831325</v>
      </c>
      <c r="O57" s="49">
        <f>$I$23*0.5</f>
        <v>33.75</v>
      </c>
      <c r="P57" s="50">
        <f>$I$23*0.05</f>
        <v>3.375</v>
      </c>
    </row>
    <row r="58" spans="1:16" s="68" customFormat="1" ht="15" hidden="1" customHeight="1" outlineLevel="1" x14ac:dyDescent="0.25">
      <c r="A58" s="62"/>
      <c r="B58" s="61" t="s">
        <v>26</v>
      </c>
      <c r="C58" s="63"/>
      <c r="D58" s="56"/>
      <c r="E58" s="56"/>
      <c r="F58" s="56"/>
      <c r="G58" s="56"/>
      <c r="H58" s="56"/>
      <c r="I58" s="64"/>
      <c r="J58" s="117">
        <f>C57/50</f>
        <v>63</v>
      </c>
      <c r="K58" s="65"/>
      <c r="L58" s="126">
        <f>FLOOR((J58-($E$12*J58/100)),1)</f>
        <v>62</v>
      </c>
      <c r="M58" s="66"/>
      <c r="N58" s="56"/>
      <c r="O58" s="67"/>
      <c r="P58" s="67"/>
    </row>
    <row r="59" spans="1:16" s="59" customFormat="1" ht="15.75" hidden="1" customHeight="1" outlineLevel="1" x14ac:dyDescent="0.25">
      <c r="A59" s="60"/>
      <c r="B59" s="61" t="s">
        <v>27</v>
      </c>
      <c r="C59" s="52"/>
      <c r="D59" s="52"/>
      <c r="E59" s="52"/>
      <c r="F59" s="52"/>
      <c r="G59" s="52"/>
      <c r="H59" s="52"/>
      <c r="I59" s="53"/>
      <c r="J59" s="118">
        <f>IF(C57=0,0,J57/C57)</f>
        <v>2.2499999999999999E-2</v>
      </c>
      <c r="K59" s="54"/>
      <c r="L59" s="118">
        <f>IF(C57=0,0,L57/C57)</f>
        <v>2.2173809523809523E-2</v>
      </c>
      <c r="M59" s="55"/>
      <c r="N59" s="56"/>
      <c r="O59" s="58"/>
      <c r="P59" s="58"/>
    </row>
    <row r="60" spans="1:16" ht="15.75" hidden="1" customHeight="1" outlineLevel="1" x14ac:dyDescent="0.25">
      <c r="B60" s="69" t="s">
        <v>28</v>
      </c>
      <c r="C60" s="70">
        <f>C61</f>
        <v>0</v>
      </c>
      <c r="D60" s="71">
        <f>IF(C60=0,0,$E$8)</f>
        <v>0</v>
      </c>
      <c r="E60" s="72">
        <f>IF(C60=0,0,$E$16)</f>
        <v>0</v>
      </c>
      <c r="F60" s="72">
        <f>C60*(E60/100)</f>
        <v>0</v>
      </c>
      <c r="G60" s="73">
        <f>(F60*D60+C60)*-1</f>
        <v>0</v>
      </c>
      <c r="H60" s="73">
        <f>C60+G60</f>
        <v>0</v>
      </c>
      <c r="I60" s="70"/>
      <c r="J60" s="119">
        <f>H60</f>
        <v>0</v>
      </c>
      <c r="K60" s="74"/>
      <c r="L60" s="119">
        <f>J60</f>
        <v>0</v>
      </c>
      <c r="M60" s="75"/>
      <c r="N60" s="76"/>
      <c r="O60" s="57"/>
      <c r="P60" s="57"/>
    </row>
    <row r="61" spans="1:16" ht="15.75" hidden="1" customHeight="1" outlineLevel="1" x14ac:dyDescent="0.25">
      <c r="B61" s="69" t="s">
        <v>119</v>
      </c>
      <c r="C61" s="70">
        <f>ROUNDDOWN(E$15/50,0)*50</f>
        <v>0</v>
      </c>
      <c r="D61" s="71">
        <f>IF(C61=0,0,D57)</f>
        <v>0</v>
      </c>
      <c r="E61" s="72">
        <f>IF(C61=0,0,E57)</f>
        <v>0</v>
      </c>
      <c r="F61" s="72">
        <f>IF(C61=0,0,(C61*(E61/100)))</f>
        <v>0</v>
      </c>
      <c r="G61" s="77">
        <f>IF(C61=0,0,(F61*D61+C61))</f>
        <v>0</v>
      </c>
      <c r="H61" s="77">
        <f>IF(C61=0,0,G61-C61)</f>
        <v>0</v>
      </c>
      <c r="I61" s="77">
        <f>IF(AND(D61&gt;10,D61&lt;21),0.45,IF(D61&gt;=21,0.4,0.5))*H61</f>
        <v>0</v>
      </c>
      <c r="J61" s="116">
        <f>H61-I61</f>
        <v>0</v>
      </c>
      <c r="K61" s="78">
        <f>J61*$C$11</f>
        <v>0</v>
      </c>
      <c r="L61" s="116">
        <f>IF(C61=0,J61,(J61/J62*L62)+(0.065/100*(C61/J62)*D61)*(J62-L62))</f>
        <v>0</v>
      </c>
      <c r="M61" s="78">
        <f>L61*$E$11</f>
        <v>0</v>
      </c>
      <c r="N61" s="76"/>
      <c r="O61" s="57"/>
      <c r="P61" s="57"/>
    </row>
    <row r="62" spans="1:16" ht="15.75" hidden="1" customHeight="1" outlineLevel="1" collapsed="1" thickBot="1" x14ac:dyDescent="0.3">
      <c r="B62" s="61" t="s">
        <v>26</v>
      </c>
      <c r="C62" s="79"/>
      <c r="D62" s="52"/>
      <c r="E62" s="52"/>
      <c r="F62" s="52"/>
      <c r="G62" s="52"/>
      <c r="H62" s="52"/>
      <c r="I62" s="52"/>
      <c r="J62" s="120">
        <f>C61/50</f>
        <v>0</v>
      </c>
      <c r="K62" s="80"/>
      <c r="L62" s="127">
        <f>FLOOR((J62-($E$12*J62/100)),1)</f>
        <v>0</v>
      </c>
      <c r="M62" s="55"/>
      <c r="N62" s="56"/>
      <c r="O62" s="57"/>
      <c r="P62" s="57"/>
    </row>
    <row r="63" spans="1:16" ht="24" hidden="1" customHeight="1" outlineLevel="1" thickBot="1" x14ac:dyDescent="0.3">
      <c r="B63" s="129" t="s">
        <v>29</v>
      </c>
      <c r="C63" s="129"/>
      <c r="D63" s="129"/>
      <c r="E63" s="129"/>
      <c r="F63" s="129"/>
      <c r="G63" s="134">
        <f>G60+G61</f>
        <v>0</v>
      </c>
      <c r="H63" s="134">
        <f>H60+H61</f>
        <v>0</v>
      </c>
      <c r="I63" s="135">
        <f>I60+I61</f>
        <v>0</v>
      </c>
      <c r="J63" s="121">
        <f>J60+J61</f>
        <v>0</v>
      </c>
      <c r="K63" s="136">
        <f>J63*$C$11</f>
        <v>0</v>
      </c>
      <c r="L63" s="128">
        <f>L60+L61</f>
        <v>0</v>
      </c>
      <c r="M63" s="137">
        <f>L63*$E$11</f>
        <v>0</v>
      </c>
      <c r="N63" s="48">
        <f>J63/J70</f>
        <v>0</v>
      </c>
      <c r="O63" s="57"/>
      <c r="P63" s="57"/>
    </row>
    <row r="64" spans="1:16" ht="15.75" hidden="1" customHeight="1" outlineLevel="1" x14ac:dyDescent="0.25">
      <c r="B64" s="61" t="s">
        <v>30</v>
      </c>
      <c r="C64" s="52"/>
      <c r="D64" s="52"/>
      <c r="E64" s="52"/>
      <c r="F64" s="52"/>
      <c r="G64" s="52"/>
      <c r="H64" s="52"/>
      <c r="I64" s="52"/>
      <c r="J64" s="122">
        <f>IF(C57=0,0,J63/C57)</f>
        <v>0</v>
      </c>
      <c r="K64" s="80"/>
      <c r="L64" s="122">
        <f>IF(C57=0,0,L63/C57)</f>
        <v>0</v>
      </c>
      <c r="M64" s="55"/>
      <c r="N64" s="56"/>
      <c r="O64" s="57"/>
      <c r="P64" s="57"/>
    </row>
    <row r="65" spans="1:16" s="82" customFormat="1" ht="15.75" hidden="1" customHeight="1" outlineLevel="1" x14ac:dyDescent="0.25">
      <c r="A65" s="4"/>
      <c r="B65" s="69" t="s">
        <v>31</v>
      </c>
      <c r="C65" s="70">
        <f>IF(AND($E$18=TRUE,E8&gt;0,E12&gt;0,E13&gt;0,E14&gt;0),(IF(($E$14+$E$15)*3&lt;3000,ROUNDDOWN((($E$14+$E$15)*3)/50,0)*50,3000)),0)</f>
        <v>3000</v>
      </c>
      <c r="D65" s="71">
        <f>IF(C65=0,0,$E$8+$E$17)</f>
        <v>3</v>
      </c>
      <c r="E65" s="72">
        <f>IF(C65=0,0,0.5)</f>
        <v>0.5</v>
      </c>
      <c r="F65" s="72">
        <f>C65*(E65/100)</f>
        <v>15</v>
      </c>
      <c r="G65" s="73">
        <f>(F65*D65+C65)*-1</f>
        <v>-3045</v>
      </c>
      <c r="H65" s="73">
        <f>C65+G65</f>
        <v>-45</v>
      </c>
      <c r="I65" s="70"/>
      <c r="J65" s="119">
        <f>H65</f>
        <v>-45</v>
      </c>
      <c r="K65" s="74"/>
      <c r="L65" s="119">
        <f>J65</f>
        <v>-45</v>
      </c>
      <c r="M65" s="75"/>
      <c r="N65" s="76"/>
      <c r="O65" s="81"/>
      <c r="P65" s="81"/>
    </row>
    <row r="66" spans="1:16" s="82" customFormat="1" ht="15.75" hidden="1" customHeight="1" outlineLevel="1" x14ac:dyDescent="0.25">
      <c r="A66" s="4"/>
      <c r="B66" s="69" t="s">
        <v>32</v>
      </c>
      <c r="C66" s="70">
        <f>C65</f>
        <v>3000</v>
      </c>
      <c r="D66" s="71">
        <f>IF(C66=0,0,D57)</f>
        <v>3</v>
      </c>
      <c r="E66" s="72">
        <f>IF(C66=0,0,E57)</f>
        <v>1.5</v>
      </c>
      <c r="F66" s="72">
        <f>IF(C66=0,0,C66*(E66/100))</f>
        <v>45</v>
      </c>
      <c r="G66" s="70">
        <f>IF(C66=0,0,F66*D66+C66)</f>
        <v>3135</v>
      </c>
      <c r="H66" s="77">
        <f>IF(C66=0,0,G66-C66)</f>
        <v>135</v>
      </c>
      <c r="I66" s="77">
        <f>IF(AND(D66&gt;10,D66&lt;21),0.45,IF(D66&gt;=21,0.4,0.5))*H66</f>
        <v>67.5</v>
      </c>
      <c r="J66" s="116">
        <f>H66-I66</f>
        <v>67.5</v>
      </c>
      <c r="K66" s="78"/>
      <c r="L66" s="116">
        <f>IF(C66=0,J66,(J66/J67*L67)+(0.065/100*(C66/J67)*D66)*(J67-L67))</f>
        <v>66.472499999999997</v>
      </c>
      <c r="M66" s="75"/>
      <c r="N66" s="76"/>
      <c r="O66" s="81"/>
      <c r="P66" s="81"/>
    </row>
    <row r="67" spans="1:16" s="86" customFormat="1" ht="15.75" hidden="1" customHeight="1" outlineLevel="1" collapsed="1" thickBot="1" x14ac:dyDescent="0.3">
      <c r="A67" s="83"/>
      <c r="B67" s="61" t="s">
        <v>26</v>
      </c>
      <c r="C67" s="63"/>
      <c r="D67" s="56"/>
      <c r="E67" s="56"/>
      <c r="F67" s="56"/>
      <c r="G67" s="56"/>
      <c r="H67" s="56"/>
      <c r="I67" s="56"/>
      <c r="J67" s="120">
        <f>C66/50</f>
        <v>60</v>
      </c>
      <c r="K67" s="84"/>
      <c r="L67" s="120">
        <f>FLOOR((J67-($E$12*J67/100)),1)</f>
        <v>59</v>
      </c>
      <c r="M67" s="66"/>
      <c r="N67" s="56"/>
      <c r="O67" s="85"/>
      <c r="P67" s="85"/>
    </row>
    <row r="68" spans="1:16" s="89" customFormat="1" ht="23.25" hidden="1" customHeight="1" outlineLevel="1" thickBot="1" x14ac:dyDescent="0.3">
      <c r="A68" s="87"/>
      <c r="B68" s="129" t="s">
        <v>33</v>
      </c>
      <c r="C68" s="138"/>
      <c r="D68" s="138"/>
      <c r="E68" s="138"/>
      <c r="F68" s="138"/>
      <c r="G68" s="130">
        <f>G66+G65</f>
        <v>90</v>
      </c>
      <c r="H68" s="130">
        <f>H66+H65</f>
        <v>90</v>
      </c>
      <c r="I68" s="131">
        <f>I66</f>
        <v>67.5</v>
      </c>
      <c r="J68" s="123">
        <f>J66+J65</f>
        <v>22.5</v>
      </c>
      <c r="K68" s="132">
        <f>J68*$C$11</f>
        <v>1141.89975</v>
      </c>
      <c r="L68" s="125">
        <f>L66+L65</f>
        <v>21.472499999999997</v>
      </c>
      <c r="M68" s="132">
        <f>L68*$E$11</f>
        <v>1089.7529947499997</v>
      </c>
      <c r="N68" s="48">
        <f>J68/J70</f>
        <v>0.24096385542168675</v>
      </c>
      <c r="O68" s="88"/>
      <c r="P68" s="88"/>
    </row>
    <row r="69" spans="1:16" ht="16.5" hidden="1" customHeight="1" outlineLevel="1" thickBot="1" x14ac:dyDescent="0.3">
      <c r="B69" s="61" t="s">
        <v>34</v>
      </c>
      <c r="C69" s="52"/>
      <c r="D69" s="52"/>
      <c r="E69" s="52"/>
      <c r="F69" s="52"/>
      <c r="G69" s="52"/>
      <c r="H69" s="52"/>
      <c r="I69" s="52"/>
      <c r="J69" s="124">
        <f>IF(C57=0,0,J68/C57)</f>
        <v>7.1428571428571426E-3</v>
      </c>
      <c r="K69" s="80"/>
      <c r="L69" s="124">
        <f>IF(C57=0,0,L68/C57)</f>
        <v>6.8166666666666653E-3</v>
      </c>
      <c r="M69" s="55"/>
      <c r="N69" s="56"/>
      <c r="O69" s="57"/>
      <c r="P69" s="57"/>
    </row>
    <row r="70" spans="1:16" s="92" customFormat="1" ht="28.5" hidden="1" customHeight="1" outlineLevel="1" thickBot="1" x14ac:dyDescent="0.3">
      <c r="A70" s="15"/>
      <c r="B70" s="139" t="s">
        <v>35</v>
      </c>
      <c r="C70" s="140">
        <f>C57+C66-C65+C60-C61</f>
        <v>3150</v>
      </c>
      <c r="D70" s="129"/>
      <c r="E70" s="129"/>
      <c r="F70" s="129"/>
      <c r="G70" s="134">
        <f t="shared" ref="G70:M70" si="6">G57+G68+G63</f>
        <v>3381.75</v>
      </c>
      <c r="H70" s="134">
        <f t="shared" si="6"/>
        <v>231.75</v>
      </c>
      <c r="I70" s="135">
        <f t="shared" si="6"/>
        <v>138.375</v>
      </c>
      <c r="J70" s="121">
        <f t="shared" si="6"/>
        <v>93.375</v>
      </c>
      <c r="K70" s="136">
        <f t="shared" si="6"/>
        <v>4738.8839625000001</v>
      </c>
      <c r="L70" s="128">
        <f>L57+L68+L63</f>
        <v>91.32</v>
      </c>
      <c r="M70" s="137">
        <f t="shared" si="6"/>
        <v>4634.5904519999995</v>
      </c>
      <c r="N70" s="90"/>
      <c r="O70" s="91"/>
      <c r="P70" s="91"/>
    </row>
    <row r="71" spans="1:16" s="82" customFormat="1" ht="15.75" hidden="1" customHeight="1" outlineLevel="1" x14ac:dyDescent="0.25">
      <c r="A71" s="4"/>
      <c r="B71" s="93" t="s">
        <v>36</v>
      </c>
      <c r="C71" s="70"/>
      <c r="D71" s="94"/>
      <c r="E71" s="95"/>
      <c r="F71" s="95"/>
      <c r="G71" s="95"/>
      <c r="H71" s="95"/>
      <c r="I71" s="95"/>
      <c r="J71" s="124">
        <f>IF(C57=0,0,J70/C57)</f>
        <v>2.9642857142857144E-2</v>
      </c>
      <c r="K71" s="96"/>
      <c r="L71" s="124">
        <f>IF(C57=0,0,L70/C57)</f>
        <v>2.8990476190476188E-2</v>
      </c>
      <c r="M71" s="97"/>
      <c r="N71" s="98"/>
      <c r="O71" s="81"/>
      <c r="P71" s="81"/>
    </row>
    <row r="72" spans="1:16" s="82" customFormat="1" ht="15.75" hidden="1" customHeight="1" outlineLevel="1" x14ac:dyDescent="0.25">
      <c r="A72" s="4"/>
      <c r="B72" s="99" t="s">
        <v>37</v>
      </c>
      <c r="C72" s="70"/>
      <c r="D72" s="100"/>
      <c r="E72" s="56"/>
      <c r="F72" s="56"/>
      <c r="G72" s="56"/>
      <c r="H72" s="56"/>
      <c r="I72" s="56"/>
      <c r="J72" s="117">
        <f>J58+J62+J67</f>
        <v>123</v>
      </c>
      <c r="K72" s="84"/>
      <c r="L72" s="117">
        <f>L58+L62+L67</f>
        <v>121</v>
      </c>
      <c r="M72" s="66"/>
      <c r="N72" s="56"/>
      <c r="O72" s="81"/>
      <c r="P72" s="81"/>
    </row>
    <row r="73" spans="1:16" ht="15.75" hidden="1" customHeight="1" outlineLevel="1" thickBot="1" x14ac:dyDescent="0.3"/>
    <row r="74" spans="1:16" s="51" customFormat="1" ht="25.5" hidden="1" customHeight="1" outlineLevel="1" thickBot="1" x14ac:dyDescent="0.3">
      <c r="A74" s="15"/>
      <c r="B74" s="129" t="s">
        <v>25</v>
      </c>
      <c r="C74" s="129">
        <f>IF(OR(F8=0,F13=0),0,ROUNDDOWN($F$14/50,0)*50)</f>
        <v>3250</v>
      </c>
      <c r="D74" s="129">
        <f>IF(C74=0,0,$F$8)</f>
        <v>3</v>
      </c>
      <c r="E74" s="130">
        <f>IF(C74=0,0,$F$13)</f>
        <v>1.5</v>
      </c>
      <c r="F74" s="130">
        <f>IF(C74=0,0,(C74*(E74/100)))</f>
        <v>48.75</v>
      </c>
      <c r="G74" s="130">
        <f>IF(C74=0,0,(F74*D74+C74))</f>
        <v>3396.25</v>
      </c>
      <c r="H74" s="130">
        <f>IF(C74=0,0,G74-C74)</f>
        <v>146.25</v>
      </c>
      <c r="I74" s="131">
        <f>IF(AND(D74&gt;10,D74&lt;21),0.45,IF(D74&gt;=21,0.4,0.5))*H74</f>
        <v>73.125</v>
      </c>
      <c r="J74" s="115">
        <f>H74-I74</f>
        <v>73.125</v>
      </c>
      <c r="K74" s="132">
        <f>J74*$C$11</f>
        <v>3711.1741875000002</v>
      </c>
      <c r="L74" s="151">
        <f>IF(OR(C74=0,F12=0),J74,(J74/J75*L75)+(0.065/100*(C74/J75)*D74)*(J75-L75))</f>
        <v>72.097499999999997</v>
      </c>
      <c r="M74" s="133">
        <f>L74*$F$11</f>
        <v>3659.0274322499999</v>
      </c>
      <c r="N74" s="48">
        <f>J74/J87</f>
        <v>0.76470588235294112</v>
      </c>
      <c r="O74" s="49">
        <f>$I$23*0.5</f>
        <v>33.75</v>
      </c>
      <c r="P74" s="50">
        <f>$I$23*0.05</f>
        <v>3.375</v>
      </c>
    </row>
    <row r="75" spans="1:16" s="68" customFormat="1" ht="15" hidden="1" customHeight="1" outlineLevel="1" x14ac:dyDescent="0.25">
      <c r="A75" s="62"/>
      <c r="B75" s="61" t="s">
        <v>26</v>
      </c>
      <c r="C75" s="63"/>
      <c r="D75" s="56"/>
      <c r="E75" s="56"/>
      <c r="F75" s="56"/>
      <c r="G75" s="56"/>
      <c r="H75" s="56"/>
      <c r="I75" s="64"/>
      <c r="J75" s="117">
        <f>C74/50</f>
        <v>65</v>
      </c>
      <c r="K75" s="65"/>
      <c r="L75" s="126">
        <f>FLOOR((J75-($F$12*J75/100)),1)</f>
        <v>64</v>
      </c>
      <c r="M75" s="66"/>
      <c r="N75" s="56"/>
      <c r="O75" s="67"/>
      <c r="P75" s="67"/>
    </row>
    <row r="76" spans="1:16" s="59" customFormat="1" ht="15.75" hidden="1" customHeight="1" outlineLevel="1" x14ac:dyDescent="0.25">
      <c r="A76" s="60"/>
      <c r="B76" s="61" t="s">
        <v>27</v>
      </c>
      <c r="C76" s="52"/>
      <c r="D76" s="52"/>
      <c r="E76" s="52"/>
      <c r="F76" s="52"/>
      <c r="G76" s="52"/>
      <c r="H76" s="52"/>
      <c r="I76" s="53"/>
      <c r="J76" s="118">
        <f>IF(C74=0,0,J74/C74)</f>
        <v>2.2499999999999999E-2</v>
      </c>
      <c r="K76" s="54"/>
      <c r="L76" s="118">
        <f>IF(C74=0,0,L74/C74)</f>
        <v>2.2183846153846151E-2</v>
      </c>
      <c r="M76" s="55"/>
      <c r="N76" s="56"/>
      <c r="O76" s="58"/>
      <c r="P76" s="58"/>
    </row>
    <row r="77" spans="1:16" ht="15.75" hidden="1" customHeight="1" outlineLevel="1" x14ac:dyDescent="0.25">
      <c r="B77" s="69" t="s">
        <v>28</v>
      </c>
      <c r="C77" s="70">
        <f>C78</f>
        <v>0</v>
      </c>
      <c r="D77" s="71">
        <f>IF(C77=0,0,$F$8)</f>
        <v>0</v>
      </c>
      <c r="E77" s="72">
        <f>IF(C77=0,0,$F$16)</f>
        <v>0</v>
      </c>
      <c r="F77" s="72">
        <f>C77*(E77/100)</f>
        <v>0</v>
      </c>
      <c r="G77" s="73">
        <f>(F77*D77+C77)*-1</f>
        <v>0</v>
      </c>
      <c r="H77" s="73">
        <f>C77+G77</f>
        <v>0</v>
      </c>
      <c r="I77" s="70"/>
      <c r="J77" s="119">
        <f>H77</f>
        <v>0</v>
      </c>
      <c r="K77" s="74"/>
      <c r="L77" s="119">
        <f>J77</f>
        <v>0</v>
      </c>
      <c r="M77" s="75"/>
      <c r="N77" s="76"/>
      <c r="O77" s="57"/>
      <c r="P77" s="57"/>
    </row>
    <row r="78" spans="1:16" ht="15.75" hidden="1" customHeight="1" outlineLevel="1" x14ac:dyDescent="0.25">
      <c r="B78" s="69" t="s">
        <v>119</v>
      </c>
      <c r="C78" s="70">
        <f>ROUNDDOWN(F$15/50,0)*50</f>
        <v>0</v>
      </c>
      <c r="D78" s="71">
        <f>IF(C78=0,0,D74)</f>
        <v>0</v>
      </c>
      <c r="E78" s="72">
        <f>IF(C78=0,0,E74)</f>
        <v>0</v>
      </c>
      <c r="F78" s="72">
        <f>IF(C78=0,0,(C78*(E78/100)))</f>
        <v>0</v>
      </c>
      <c r="G78" s="77">
        <f>IF(C78=0,0,(F78*D78+C78))</f>
        <v>0</v>
      </c>
      <c r="H78" s="77">
        <f>IF(C78=0,0,G78-C78)</f>
        <v>0</v>
      </c>
      <c r="I78" s="77">
        <f>IF(AND(D78&gt;10,D78&lt;21),0.45,IF(D78&gt;=21,0.4,0.5))*H78</f>
        <v>0</v>
      </c>
      <c r="J78" s="116">
        <f>H78-I78</f>
        <v>0</v>
      </c>
      <c r="K78" s="78">
        <f>J78*$C$11</f>
        <v>0</v>
      </c>
      <c r="L78" s="116">
        <f>IF(C78=0,J78,(J78/J79*L79)+(0.065/100*(C78/J79)*D78)*(J79-L79))</f>
        <v>0</v>
      </c>
      <c r="M78" s="78">
        <f>L78*$F$11</f>
        <v>0</v>
      </c>
      <c r="N78" s="76"/>
      <c r="O78" s="57"/>
      <c r="P78" s="57"/>
    </row>
    <row r="79" spans="1:16" ht="15.75" hidden="1" customHeight="1" outlineLevel="1" collapsed="1" thickBot="1" x14ac:dyDescent="0.3">
      <c r="B79" s="61" t="s">
        <v>26</v>
      </c>
      <c r="C79" s="79"/>
      <c r="D79" s="52"/>
      <c r="E79" s="52"/>
      <c r="F79" s="52"/>
      <c r="G79" s="52"/>
      <c r="H79" s="52"/>
      <c r="I79" s="52"/>
      <c r="J79" s="120">
        <f>C78/50</f>
        <v>0</v>
      </c>
      <c r="K79" s="80"/>
      <c r="L79" s="127">
        <f>FLOOR((J79-($F$12*J79/100)),1)</f>
        <v>0</v>
      </c>
      <c r="M79" s="55"/>
      <c r="N79" s="56"/>
      <c r="O79" s="57"/>
      <c r="P79" s="57"/>
    </row>
    <row r="80" spans="1:16" ht="24" hidden="1" customHeight="1" outlineLevel="1" thickBot="1" x14ac:dyDescent="0.3">
      <c r="B80" s="129" t="s">
        <v>29</v>
      </c>
      <c r="C80" s="129"/>
      <c r="D80" s="129"/>
      <c r="E80" s="129"/>
      <c r="F80" s="129"/>
      <c r="G80" s="134">
        <f>G77+G78</f>
        <v>0</v>
      </c>
      <c r="H80" s="134">
        <f>H77+H78</f>
        <v>0</v>
      </c>
      <c r="I80" s="135">
        <f>I77+I78</f>
        <v>0</v>
      </c>
      <c r="J80" s="121">
        <f>J77+J78</f>
        <v>0</v>
      </c>
      <c r="K80" s="136">
        <f>J80*$C$11</f>
        <v>0</v>
      </c>
      <c r="L80" s="128">
        <f>L77+L78</f>
        <v>0</v>
      </c>
      <c r="M80" s="137">
        <f>L80*$F$11</f>
        <v>0</v>
      </c>
      <c r="N80" s="48">
        <f>J80/J87</f>
        <v>0</v>
      </c>
      <c r="O80" s="57"/>
      <c r="P80" s="57"/>
    </row>
    <row r="81" spans="1:16" ht="15.75" hidden="1" customHeight="1" outlineLevel="1" x14ac:dyDescent="0.25">
      <c r="B81" s="61" t="s">
        <v>30</v>
      </c>
      <c r="C81" s="52"/>
      <c r="D81" s="52"/>
      <c r="E81" s="52"/>
      <c r="F81" s="52"/>
      <c r="G81" s="52"/>
      <c r="H81" s="52"/>
      <c r="I81" s="52"/>
      <c r="J81" s="122">
        <f>IF(C74=0,0,J80/C74)</f>
        <v>0</v>
      </c>
      <c r="K81" s="80"/>
      <c r="L81" s="122">
        <f>IF(C74=0,0,L80/C74)</f>
        <v>0</v>
      </c>
      <c r="M81" s="55"/>
      <c r="N81" s="56"/>
      <c r="O81" s="57"/>
      <c r="P81" s="57"/>
    </row>
    <row r="82" spans="1:16" s="82" customFormat="1" ht="15.75" hidden="1" customHeight="1" outlineLevel="1" x14ac:dyDescent="0.25">
      <c r="A82" s="4"/>
      <c r="B82" s="69" t="s">
        <v>31</v>
      </c>
      <c r="C82" s="70">
        <f>IF(AND($F$18=TRUE,F8&gt;0,F12&gt;0,F13&gt;0,F14&gt;0),(IF(($F$14+$F$15)*3&lt;3000,ROUNDDOWN((($F$14+$F$15)*3)/50,0)*50,3000)),0)</f>
        <v>3000</v>
      </c>
      <c r="D82" s="71">
        <f>IF(C82=0,0,$F$8+$F$17)</f>
        <v>3</v>
      </c>
      <c r="E82" s="72">
        <f>IF(C82=0,0,0.5)</f>
        <v>0.5</v>
      </c>
      <c r="F82" s="72">
        <f>C82*(E82/100)</f>
        <v>15</v>
      </c>
      <c r="G82" s="73">
        <f>(F82*D82+C82)*-1</f>
        <v>-3045</v>
      </c>
      <c r="H82" s="73">
        <f>C82+G82</f>
        <v>-45</v>
      </c>
      <c r="I82" s="70"/>
      <c r="J82" s="119">
        <f>H82</f>
        <v>-45</v>
      </c>
      <c r="K82" s="74"/>
      <c r="L82" s="119">
        <f>J82</f>
        <v>-45</v>
      </c>
      <c r="M82" s="75"/>
      <c r="N82" s="76"/>
      <c r="O82" s="81"/>
      <c r="P82" s="81"/>
    </row>
    <row r="83" spans="1:16" s="82" customFormat="1" ht="15.75" hidden="1" customHeight="1" outlineLevel="1" x14ac:dyDescent="0.25">
      <c r="A83" s="4"/>
      <c r="B83" s="69" t="s">
        <v>32</v>
      </c>
      <c r="C83" s="70">
        <f>C82</f>
        <v>3000</v>
      </c>
      <c r="D83" s="71">
        <f>IF(C83=0,0,$F$8)</f>
        <v>3</v>
      </c>
      <c r="E83" s="72">
        <f>IF(C83=0,0,E74)</f>
        <v>1.5</v>
      </c>
      <c r="F83" s="72">
        <f>IF(C83=0,0,C83*(E83/100))</f>
        <v>45</v>
      </c>
      <c r="G83" s="70">
        <f>IF(C83=0,0,F83*D83+C83)</f>
        <v>3135</v>
      </c>
      <c r="H83" s="77">
        <f>IF(C83=0,0,G83-C83)</f>
        <v>135</v>
      </c>
      <c r="I83" s="77">
        <f>IF(AND(D83&gt;10,D83&lt;21),0.45,IF(D83&gt;=21,0.4,0.5))*H83</f>
        <v>67.5</v>
      </c>
      <c r="J83" s="116">
        <f>H83-I83</f>
        <v>67.5</v>
      </c>
      <c r="K83" s="78"/>
      <c r="L83" s="116">
        <f>IF(C83=0,J83,(J83/J84*L84)+(0.065/100*(C83/J84)*D83)*(J84-L84))</f>
        <v>66.472499999999997</v>
      </c>
      <c r="M83" s="75"/>
      <c r="N83" s="76"/>
      <c r="O83" s="81"/>
      <c r="P83" s="81"/>
    </row>
    <row r="84" spans="1:16" s="86" customFormat="1" ht="15.75" hidden="1" customHeight="1" outlineLevel="1" collapsed="1" thickBot="1" x14ac:dyDescent="0.3">
      <c r="A84" s="83"/>
      <c r="B84" s="61" t="s">
        <v>26</v>
      </c>
      <c r="C84" s="63"/>
      <c r="D84" s="56"/>
      <c r="E84" s="56"/>
      <c r="F84" s="56"/>
      <c r="G84" s="56"/>
      <c r="H84" s="56"/>
      <c r="I84" s="56"/>
      <c r="J84" s="120">
        <f>C83/50</f>
        <v>60</v>
      </c>
      <c r="K84" s="84"/>
      <c r="L84" s="120">
        <f>FLOOR((J84-($F$12*J84/100)),1)</f>
        <v>59</v>
      </c>
      <c r="M84" s="66"/>
      <c r="N84" s="56"/>
      <c r="O84" s="85"/>
      <c r="P84" s="85"/>
    </row>
    <row r="85" spans="1:16" s="89" customFormat="1" ht="23.25" hidden="1" customHeight="1" outlineLevel="1" thickBot="1" x14ac:dyDescent="0.3">
      <c r="A85" s="87"/>
      <c r="B85" s="129" t="s">
        <v>33</v>
      </c>
      <c r="C85" s="138"/>
      <c r="D85" s="138"/>
      <c r="E85" s="138"/>
      <c r="F85" s="138"/>
      <c r="G85" s="130">
        <f>G83+G82</f>
        <v>90</v>
      </c>
      <c r="H85" s="130">
        <f>H83+H82</f>
        <v>90</v>
      </c>
      <c r="I85" s="131">
        <f>I83</f>
        <v>67.5</v>
      </c>
      <c r="J85" s="123">
        <f>J83+J82</f>
        <v>22.5</v>
      </c>
      <c r="K85" s="132">
        <f>J85*$C$11</f>
        <v>1141.89975</v>
      </c>
      <c r="L85" s="125">
        <f>L83+L82</f>
        <v>21.472499999999997</v>
      </c>
      <c r="M85" s="132">
        <f>L85*$F$11</f>
        <v>1089.7529947499997</v>
      </c>
      <c r="N85" s="48">
        <f>J85/J87</f>
        <v>0.23529411764705882</v>
      </c>
      <c r="O85" s="88"/>
      <c r="P85" s="88"/>
    </row>
    <row r="86" spans="1:16" ht="16.5" hidden="1" customHeight="1" outlineLevel="1" thickBot="1" x14ac:dyDescent="0.3">
      <c r="B86" s="61" t="s">
        <v>34</v>
      </c>
      <c r="C86" s="52"/>
      <c r="D86" s="52"/>
      <c r="E86" s="52"/>
      <c r="F86" s="52"/>
      <c r="G86" s="52"/>
      <c r="H86" s="52"/>
      <c r="I86" s="52"/>
      <c r="J86" s="124">
        <f>IF(C74=0,0,J85/C74)</f>
        <v>6.9230769230769233E-3</v>
      </c>
      <c r="K86" s="80"/>
      <c r="L86" s="124">
        <f>IF(C74=0,0,L85/C74)</f>
        <v>6.6069230769230762E-3</v>
      </c>
      <c r="M86" s="55"/>
      <c r="N86" s="56"/>
      <c r="O86" s="57"/>
      <c r="P86" s="57"/>
    </row>
    <row r="87" spans="1:16" s="92" customFormat="1" ht="28.5" hidden="1" customHeight="1" outlineLevel="1" thickBot="1" x14ac:dyDescent="0.3">
      <c r="A87" s="15"/>
      <c r="B87" s="139" t="s">
        <v>35</v>
      </c>
      <c r="C87" s="140">
        <f>C74+C83-C82+C77-C78</f>
        <v>3250</v>
      </c>
      <c r="D87" s="129"/>
      <c r="E87" s="129"/>
      <c r="F87" s="129"/>
      <c r="G87" s="134">
        <f t="shared" ref="G87:M87" si="7">G74+G85+G80</f>
        <v>3486.25</v>
      </c>
      <c r="H87" s="134">
        <f t="shared" si="7"/>
        <v>236.25</v>
      </c>
      <c r="I87" s="135">
        <f t="shared" si="7"/>
        <v>140.625</v>
      </c>
      <c r="J87" s="121">
        <f t="shared" si="7"/>
        <v>95.625</v>
      </c>
      <c r="K87" s="136">
        <f t="shared" si="7"/>
        <v>4853.0739375000003</v>
      </c>
      <c r="L87" s="128">
        <f>L74+L85+L80</f>
        <v>93.57</v>
      </c>
      <c r="M87" s="137">
        <f t="shared" si="7"/>
        <v>4748.7804269999997</v>
      </c>
      <c r="N87" s="90"/>
      <c r="O87" s="91"/>
      <c r="P87" s="91"/>
    </row>
    <row r="88" spans="1:16" s="82" customFormat="1" ht="15.75" hidden="1" customHeight="1" outlineLevel="1" x14ac:dyDescent="0.25">
      <c r="A88" s="4"/>
      <c r="B88" s="93" t="s">
        <v>36</v>
      </c>
      <c r="C88" s="70"/>
      <c r="D88" s="94"/>
      <c r="E88" s="95"/>
      <c r="F88" s="95"/>
      <c r="G88" s="95"/>
      <c r="H88" s="95"/>
      <c r="I88" s="95"/>
      <c r="J88" s="124">
        <f>IF(C74=0,0,J87/C74)</f>
        <v>2.9423076923076923E-2</v>
      </c>
      <c r="K88" s="96"/>
      <c r="L88" s="124">
        <f>IF(C74=0,0,L87/C74)</f>
        <v>2.8790769230769227E-2</v>
      </c>
      <c r="M88" s="97"/>
      <c r="N88" s="98"/>
      <c r="O88" s="81"/>
      <c r="P88" s="81"/>
    </row>
    <row r="89" spans="1:16" s="82" customFormat="1" ht="15.75" hidden="1" customHeight="1" outlineLevel="1" x14ac:dyDescent="0.25">
      <c r="A89" s="4"/>
      <c r="B89" s="99" t="s">
        <v>37</v>
      </c>
      <c r="C89" s="70"/>
      <c r="D89" s="100"/>
      <c r="E89" s="56"/>
      <c r="F89" s="56"/>
      <c r="G89" s="56"/>
      <c r="H89" s="56"/>
      <c r="I89" s="56"/>
      <c r="J89" s="117">
        <f>J75+J79+J84</f>
        <v>125</v>
      </c>
      <c r="K89" s="84"/>
      <c r="L89" s="117">
        <f>L75+L79+L84</f>
        <v>123</v>
      </c>
      <c r="M89" s="66"/>
      <c r="N89" s="56"/>
      <c r="O89" s="81"/>
      <c r="P89" s="81"/>
    </row>
    <row r="90" spans="1:16" s="29" customFormat="1" ht="15.75" hidden="1" customHeight="1" outlineLevel="1" thickBot="1" x14ac:dyDescent="0.3">
      <c r="A90" s="9"/>
      <c r="B90" s="146"/>
      <c r="C90" s="147"/>
      <c r="D90" s="35"/>
      <c r="G90" s="34"/>
      <c r="O90" s="30"/>
      <c r="P90" s="30"/>
    </row>
    <row r="91" spans="1:16" s="51" customFormat="1" ht="25.5" hidden="1" customHeight="1" outlineLevel="1" thickBot="1" x14ac:dyDescent="0.3">
      <c r="A91" s="15"/>
      <c r="B91" s="129" t="s">
        <v>25</v>
      </c>
      <c r="C91" s="129">
        <f>IF(OR(G8=0,G13=0),0,ROUNDDOWN($G$14/50,0)*50)</f>
        <v>3350</v>
      </c>
      <c r="D91" s="129">
        <f>IF(C91=0,0,$G$8)</f>
        <v>3</v>
      </c>
      <c r="E91" s="130">
        <f>IF(C91=0,0,$G$13)</f>
        <v>1.5</v>
      </c>
      <c r="F91" s="130">
        <f>IF(C91=0,0,(C91*(E91/100)))</f>
        <v>50.25</v>
      </c>
      <c r="G91" s="130">
        <f>IF(C91=0,0,(F91*D91+C91))</f>
        <v>3500.75</v>
      </c>
      <c r="H91" s="130">
        <f>IF(C91=0,0,G91-C91)</f>
        <v>150.75</v>
      </c>
      <c r="I91" s="131">
        <f>IF(AND(D91&gt;10,D91&lt;21),0.45,IF(D91&gt;=21,0.4,0.5))*H91</f>
        <v>75.375</v>
      </c>
      <c r="J91" s="115">
        <f>H91-I91</f>
        <v>75.375</v>
      </c>
      <c r="K91" s="132">
        <f>J91*$C$11</f>
        <v>3825.3641625</v>
      </c>
      <c r="L91" s="151">
        <f>IF(OR(C91=0,G12=0),J91,(J91/J92*L92)+(0.065/100*(C91/J92)*D91)*(J92-L92))</f>
        <v>74.347499999999997</v>
      </c>
      <c r="M91" s="133">
        <f>L91*$G$11</f>
        <v>3773.2174072499997</v>
      </c>
      <c r="N91" s="48">
        <f>J91/J104</f>
        <v>0.77011494252873558</v>
      </c>
      <c r="O91" s="49">
        <f>$I$23*0.5</f>
        <v>33.75</v>
      </c>
      <c r="P91" s="50">
        <f>$I$23*0.05</f>
        <v>3.375</v>
      </c>
    </row>
    <row r="92" spans="1:16" s="68" customFormat="1" ht="15" hidden="1" customHeight="1" outlineLevel="1" x14ac:dyDescent="0.25">
      <c r="A92" s="62"/>
      <c r="B92" s="61" t="s">
        <v>26</v>
      </c>
      <c r="C92" s="63"/>
      <c r="D92" s="56"/>
      <c r="E92" s="56"/>
      <c r="F92" s="56"/>
      <c r="G92" s="56"/>
      <c r="H92" s="56"/>
      <c r="I92" s="64"/>
      <c r="J92" s="117">
        <f>C91/50</f>
        <v>67</v>
      </c>
      <c r="K92" s="65"/>
      <c r="L92" s="126">
        <f>FLOOR((J92-($G$12*J92/100)),1)</f>
        <v>66</v>
      </c>
      <c r="M92" s="66"/>
      <c r="N92" s="56"/>
      <c r="O92" s="67"/>
      <c r="P92" s="67"/>
    </row>
    <row r="93" spans="1:16" s="59" customFormat="1" ht="15.75" hidden="1" customHeight="1" outlineLevel="1" x14ac:dyDescent="0.25">
      <c r="A93" s="60"/>
      <c r="B93" s="61" t="s">
        <v>27</v>
      </c>
      <c r="C93" s="52"/>
      <c r="D93" s="52"/>
      <c r="E93" s="52"/>
      <c r="F93" s="52"/>
      <c r="G93" s="52"/>
      <c r="H93" s="52"/>
      <c r="I93" s="53"/>
      <c r="J93" s="118">
        <f>IF(C91=0,0,J91/C91)</f>
        <v>2.2499999999999999E-2</v>
      </c>
      <c r="K93" s="54"/>
      <c r="L93" s="118">
        <f>IF(C91=0,0,L91/C91)</f>
        <v>2.2193283582089551E-2</v>
      </c>
      <c r="M93" s="55"/>
      <c r="N93" s="56"/>
      <c r="O93" s="58"/>
      <c r="P93" s="58"/>
    </row>
    <row r="94" spans="1:16" ht="15.75" hidden="1" customHeight="1" outlineLevel="1" x14ac:dyDescent="0.25">
      <c r="B94" s="69" t="s">
        <v>28</v>
      </c>
      <c r="C94" s="70">
        <f>C95</f>
        <v>0</v>
      </c>
      <c r="D94" s="71">
        <f>IF(C94=0,0,$G$8)</f>
        <v>0</v>
      </c>
      <c r="E94" s="72">
        <f>IF(C94=0,0,$G$16)</f>
        <v>0</v>
      </c>
      <c r="F94" s="72">
        <f>C94*(E94/100)</f>
        <v>0</v>
      </c>
      <c r="G94" s="73">
        <f>(F94*D94+C94)*-1</f>
        <v>0</v>
      </c>
      <c r="H94" s="73">
        <f>C94+G94</f>
        <v>0</v>
      </c>
      <c r="I94" s="70"/>
      <c r="J94" s="119">
        <f>H94</f>
        <v>0</v>
      </c>
      <c r="K94" s="74"/>
      <c r="L94" s="119">
        <f>J94</f>
        <v>0</v>
      </c>
      <c r="M94" s="75"/>
      <c r="N94" s="76"/>
      <c r="O94" s="57"/>
      <c r="P94" s="57"/>
    </row>
    <row r="95" spans="1:16" ht="15.75" hidden="1" customHeight="1" outlineLevel="1" x14ac:dyDescent="0.25">
      <c r="B95" s="69" t="s">
        <v>119</v>
      </c>
      <c r="C95" s="70">
        <f>ROUNDDOWN(G$15/50,0)*50</f>
        <v>0</v>
      </c>
      <c r="D95" s="71">
        <f>IF(C95=0,0,D91)</f>
        <v>0</v>
      </c>
      <c r="E95" s="72">
        <f>IF(C95=0,0,E91)</f>
        <v>0</v>
      </c>
      <c r="F95" s="72">
        <f>IF(C95=0,0,(C95*(E95/100)))</f>
        <v>0</v>
      </c>
      <c r="G95" s="77">
        <f>IF(C95=0,0,(F95*D95+C95))</f>
        <v>0</v>
      </c>
      <c r="H95" s="77">
        <f>IF(C95=0,0,G95-C95)</f>
        <v>0</v>
      </c>
      <c r="I95" s="77">
        <f>IF(AND(D95&gt;10,D95&lt;21),0.45,IF(D95&gt;=21,0.4,0.5))*H95</f>
        <v>0</v>
      </c>
      <c r="J95" s="116">
        <f>H95-I95</f>
        <v>0</v>
      </c>
      <c r="K95" s="78">
        <f>J95*$C$11</f>
        <v>0</v>
      </c>
      <c r="L95" s="116">
        <f>IF(C95=0,J95,(J95/J96*L96)+(0.065/100*(C95/J96)*D95)*(J96-L96))</f>
        <v>0</v>
      </c>
      <c r="M95" s="78">
        <f>L95*$G$11</f>
        <v>0</v>
      </c>
      <c r="N95" s="76"/>
      <c r="O95" s="57"/>
      <c r="P95" s="57"/>
    </row>
    <row r="96" spans="1:16" ht="15.75" hidden="1" customHeight="1" outlineLevel="1" collapsed="1" thickBot="1" x14ac:dyDescent="0.3">
      <c r="B96" s="61" t="s">
        <v>26</v>
      </c>
      <c r="C96" s="79"/>
      <c r="D96" s="52"/>
      <c r="E96" s="52"/>
      <c r="F96" s="52"/>
      <c r="G96" s="52"/>
      <c r="H96" s="52"/>
      <c r="I96" s="52"/>
      <c r="J96" s="120">
        <f>C95/50</f>
        <v>0</v>
      </c>
      <c r="K96" s="80"/>
      <c r="L96" s="127">
        <f>FLOOR((J96-($G$12*J96/100)),1)</f>
        <v>0</v>
      </c>
      <c r="M96" s="55"/>
      <c r="N96" s="56"/>
      <c r="O96" s="57"/>
      <c r="P96" s="57"/>
    </row>
    <row r="97" spans="1:16" ht="24" hidden="1" customHeight="1" outlineLevel="1" thickBot="1" x14ac:dyDescent="0.3">
      <c r="B97" s="129" t="s">
        <v>29</v>
      </c>
      <c r="C97" s="129"/>
      <c r="D97" s="129"/>
      <c r="E97" s="129"/>
      <c r="F97" s="129"/>
      <c r="G97" s="134">
        <f>G94+G95</f>
        <v>0</v>
      </c>
      <c r="H97" s="134">
        <f>H94+H95</f>
        <v>0</v>
      </c>
      <c r="I97" s="135">
        <f>I94+I95</f>
        <v>0</v>
      </c>
      <c r="J97" s="121">
        <f>J94+J95</f>
        <v>0</v>
      </c>
      <c r="K97" s="136">
        <f>J97*$C$11</f>
        <v>0</v>
      </c>
      <c r="L97" s="128">
        <f>L94+L95</f>
        <v>0</v>
      </c>
      <c r="M97" s="137">
        <f>L97*$G$11</f>
        <v>0</v>
      </c>
      <c r="N97" s="48">
        <f>J97/J104</f>
        <v>0</v>
      </c>
      <c r="O97" s="57"/>
      <c r="P97" s="57"/>
    </row>
    <row r="98" spans="1:16" ht="15.75" hidden="1" customHeight="1" outlineLevel="1" x14ac:dyDescent="0.25">
      <c r="B98" s="61" t="s">
        <v>30</v>
      </c>
      <c r="C98" s="52"/>
      <c r="D98" s="52"/>
      <c r="E98" s="52"/>
      <c r="F98" s="52"/>
      <c r="G98" s="52"/>
      <c r="H98" s="52"/>
      <c r="I98" s="52"/>
      <c r="J98" s="122">
        <f>IF(C91=0,0,J97/C91)</f>
        <v>0</v>
      </c>
      <c r="K98" s="80"/>
      <c r="L98" s="122">
        <f>IF(C91=0,0,L97/C91)</f>
        <v>0</v>
      </c>
      <c r="M98" s="55"/>
      <c r="N98" s="56"/>
      <c r="O98" s="57"/>
      <c r="P98" s="57"/>
    </row>
    <row r="99" spans="1:16" s="82" customFormat="1" ht="15.75" hidden="1" customHeight="1" outlineLevel="1" x14ac:dyDescent="0.25">
      <c r="A99" s="4"/>
      <c r="B99" s="69" t="s">
        <v>31</v>
      </c>
      <c r="C99" s="70">
        <f>IF(AND($G$18=TRUE,G8&gt;0,G12&gt;0,G13&gt;0,G14&gt;0),(IF(($G$14+$G$15)*3&lt;3000,ROUNDDOWN((($G$14+$G$15)*3)/50,0)*50,3000)),0)</f>
        <v>3000</v>
      </c>
      <c r="D99" s="71">
        <f>IF(C99=0,0,$G$8+$G$17)</f>
        <v>3</v>
      </c>
      <c r="E99" s="72">
        <f>IF(C99=0,0,0.5)</f>
        <v>0.5</v>
      </c>
      <c r="F99" s="72">
        <f>C99*(E99/100)</f>
        <v>15</v>
      </c>
      <c r="G99" s="73">
        <f>(F99*D99+C99)*-1</f>
        <v>-3045</v>
      </c>
      <c r="H99" s="73">
        <f>C99+G99</f>
        <v>-45</v>
      </c>
      <c r="I99" s="70"/>
      <c r="J99" s="119">
        <f>H99</f>
        <v>-45</v>
      </c>
      <c r="K99" s="74"/>
      <c r="L99" s="119">
        <f>J99</f>
        <v>-45</v>
      </c>
      <c r="M99" s="75"/>
      <c r="N99" s="76"/>
      <c r="O99" s="81"/>
      <c r="P99" s="81"/>
    </row>
    <row r="100" spans="1:16" s="82" customFormat="1" ht="15.75" hidden="1" customHeight="1" outlineLevel="1" x14ac:dyDescent="0.25">
      <c r="A100" s="4"/>
      <c r="B100" s="69" t="s">
        <v>32</v>
      </c>
      <c r="C100" s="70">
        <f>C99</f>
        <v>3000</v>
      </c>
      <c r="D100" s="71">
        <f>IF(C100=0,0,D91)</f>
        <v>3</v>
      </c>
      <c r="E100" s="72">
        <f>IF(C100=0,0,E91)</f>
        <v>1.5</v>
      </c>
      <c r="F100" s="72">
        <f>IF(C100=0,0,C100*(E100/100))</f>
        <v>45</v>
      </c>
      <c r="G100" s="70">
        <f>IF(C100=0,0,F100*D100+C100)</f>
        <v>3135</v>
      </c>
      <c r="H100" s="77">
        <f>IF(C100=0,0,G100-C100)</f>
        <v>135</v>
      </c>
      <c r="I100" s="77">
        <f>IF(AND(D100&gt;10,D100&lt;21),0.45,IF(D100&gt;=21,0.4,0.5))*H100</f>
        <v>67.5</v>
      </c>
      <c r="J100" s="116">
        <f>H100-I100</f>
        <v>67.5</v>
      </c>
      <c r="K100" s="78"/>
      <c r="L100" s="116">
        <f>IF(C100=0,J100,(J100/J101*L101)+(0.065/100*(C100/J101)*D100)*(J101-L101))</f>
        <v>66.472499999999997</v>
      </c>
      <c r="M100" s="75"/>
      <c r="N100" s="76"/>
      <c r="O100" s="81"/>
      <c r="P100" s="81"/>
    </row>
    <row r="101" spans="1:16" s="86" customFormat="1" ht="15.75" hidden="1" customHeight="1" outlineLevel="1" collapsed="1" thickBot="1" x14ac:dyDescent="0.3">
      <c r="A101" s="83"/>
      <c r="B101" s="61" t="s">
        <v>26</v>
      </c>
      <c r="C101" s="63"/>
      <c r="D101" s="56"/>
      <c r="E101" s="56"/>
      <c r="F101" s="56"/>
      <c r="G101" s="56"/>
      <c r="H101" s="56"/>
      <c r="I101" s="56"/>
      <c r="J101" s="120">
        <f>C100/50</f>
        <v>60</v>
      </c>
      <c r="K101" s="84"/>
      <c r="L101" s="120">
        <f>FLOOR((J101-($G$12*J101/100)),1)</f>
        <v>59</v>
      </c>
      <c r="M101" s="66"/>
      <c r="N101" s="56"/>
      <c r="O101" s="85"/>
      <c r="P101" s="85"/>
    </row>
    <row r="102" spans="1:16" s="89" customFormat="1" ht="23.25" hidden="1" customHeight="1" outlineLevel="1" thickBot="1" x14ac:dyDescent="0.3">
      <c r="A102" s="87"/>
      <c r="B102" s="129" t="s">
        <v>33</v>
      </c>
      <c r="C102" s="138"/>
      <c r="D102" s="138"/>
      <c r="E102" s="138"/>
      <c r="F102" s="138"/>
      <c r="G102" s="130">
        <f>G100+G99</f>
        <v>90</v>
      </c>
      <c r="H102" s="130">
        <f>H100+H99</f>
        <v>90</v>
      </c>
      <c r="I102" s="131">
        <f>I100</f>
        <v>67.5</v>
      </c>
      <c r="J102" s="123">
        <f>J100+J99</f>
        <v>22.5</v>
      </c>
      <c r="K102" s="132">
        <f>J102*$C$11</f>
        <v>1141.89975</v>
      </c>
      <c r="L102" s="125">
        <f>L100+L99</f>
        <v>21.472499999999997</v>
      </c>
      <c r="M102" s="132">
        <f>L102*$G$11</f>
        <v>1089.7529947499997</v>
      </c>
      <c r="N102" s="48">
        <f>J102/J104</f>
        <v>0.22988505747126436</v>
      </c>
      <c r="O102" s="88"/>
      <c r="P102" s="88"/>
    </row>
    <row r="103" spans="1:16" ht="16.5" hidden="1" customHeight="1" outlineLevel="1" thickBot="1" x14ac:dyDescent="0.3">
      <c r="B103" s="61" t="s">
        <v>34</v>
      </c>
      <c r="C103" s="52"/>
      <c r="D103" s="52"/>
      <c r="E103" s="52"/>
      <c r="F103" s="52"/>
      <c r="G103" s="52"/>
      <c r="H103" s="52"/>
      <c r="I103" s="52"/>
      <c r="J103" s="124">
        <f>IF(C91=0,0,J102/C91)</f>
        <v>6.7164179104477612E-3</v>
      </c>
      <c r="K103" s="80"/>
      <c r="L103" s="124">
        <f>IF(C91=0,0,L102/C91)</f>
        <v>6.4097014925373124E-3</v>
      </c>
      <c r="M103" s="55"/>
      <c r="N103" s="56"/>
      <c r="O103" s="57"/>
      <c r="P103" s="57"/>
    </row>
    <row r="104" spans="1:16" s="92" customFormat="1" ht="28.5" hidden="1" customHeight="1" outlineLevel="1" thickBot="1" x14ac:dyDescent="0.3">
      <c r="A104" s="15"/>
      <c r="B104" s="139" t="s">
        <v>35</v>
      </c>
      <c r="C104" s="140">
        <f>C91+C100-C99+C94-C95</f>
        <v>3350</v>
      </c>
      <c r="D104" s="129"/>
      <c r="E104" s="129"/>
      <c r="F104" s="129"/>
      <c r="G104" s="134">
        <f t="shared" ref="G104:M104" si="8">G91+G102+G97</f>
        <v>3590.75</v>
      </c>
      <c r="H104" s="134">
        <f t="shared" si="8"/>
        <v>240.75</v>
      </c>
      <c r="I104" s="135">
        <f t="shared" si="8"/>
        <v>142.875</v>
      </c>
      <c r="J104" s="121">
        <f t="shared" si="8"/>
        <v>97.875</v>
      </c>
      <c r="K104" s="136">
        <f t="shared" si="8"/>
        <v>4967.2639125000005</v>
      </c>
      <c r="L104" s="128">
        <f>L91+L102+L97</f>
        <v>95.82</v>
      </c>
      <c r="M104" s="137">
        <f t="shared" si="8"/>
        <v>4862.970401999999</v>
      </c>
      <c r="N104" s="90"/>
      <c r="O104" s="91"/>
      <c r="P104" s="91"/>
    </row>
    <row r="105" spans="1:16" s="82" customFormat="1" ht="15.75" hidden="1" customHeight="1" outlineLevel="1" x14ac:dyDescent="0.25">
      <c r="A105" s="4"/>
      <c r="B105" s="93" t="s">
        <v>36</v>
      </c>
      <c r="C105" s="70"/>
      <c r="D105" s="94"/>
      <c r="E105" s="95"/>
      <c r="F105" s="95"/>
      <c r="G105" s="95"/>
      <c r="H105" s="95"/>
      <c r="I105" s="95"/>
      <c r="J105" s="124">
        <f>IF(C91=0,0,J104/C91)</f>
        <v>2.921641791044776E-2</v>
      </c>
      <c r="K105" s="96"/>
      <c r="L105" s="124">
        <f>IF(C91=0,0,L104/C91)</f>
        <v>2.8602985074626865E-2</v>
      </c>
      <c r="M105" s="97"/>
      <c r="N105" s="98"/>
      <c r="O105" s="81"/>
      <c r="P105" s="81"/>
    </row>
    <row r="106" spans="1:16" s="82" customFormat="1" ht="15.75" hidden="1" customHeight="1" outlineLevel="1" x14ac:dyDescent="0.25">
      <c r="A106" s="4"/>
      <c r="B106" s="99" t="s">
        <v>37</v>
      </c>
      <c r="C106" s="70"/>
      <c r="D106" s="100"/>
      <c r="E106" s="56"/>
      <c r="F106" s="56"/>
      <c r="G106" s="56"/>
      <c r="H106" s="56"/>
      <c r="I106" s="56"/>
      <c r="J106" s="117">
        <f>J92+J96+J101</f>
        <v>127</v>
      </c>
      <c r="K106" s="84"/>
      <c r="L106" s="154">
        <f>L92+L96+L101</f>
        <v>125</v>
      </c>
      <c r="M106" s="66"/>
      <c r="N106" s="56"/>
      <c r="O106" s="81"/>
      <c r="P106" s="81"/>
    </row>
    <row r="107" spans="1:16" s="29" customFormat="1" ht="6.75" hidden="1" customHeight="1" outlineLevel="1" thickBot="1" x14ac:dyDescent="0.3">
      <c r="A107" s="9"/>
      <c r="B107" s="146"/>
      <c r="C107" s="147"/>
      <c r="D107" s="35"/>
      <c r="G107" s="34"/>
      <c r="O107" s="30"/>
      <c r="P107" s="30"/>
    </row>
    <row r="108" spans="1:16" s="51" customFormat="1" ht="25.5" hidden="1" customHeight="1" outlineLevel="1" thickBot="1" x14ac:dyDescent="0.3">
      <c r="A108" s="15"/>
      <c r="B108" s="129" t="s">
        <v>25</v>
      </c>
      <c r="C108" s="129">
        <f>IF(OR(H8=0,H13=0),0,ROUNDDOWN($H$14/50,0)*50)</f>
        <v>3450</v>
      </c>
      <c r="D108" s="129">
        <f>IF(C108=0,0,$H$8)</f>
        <v>3</v>
      </c>
      <c r="E108" s="130">
        <f>IF(C108=0,0,$H$13)</f>
        <v>1.5</v>
      </c>
      <c r="F108" s="130">
        <f>IF(C108=0,0,(C108*(E108/100)))</f>
        <v>51.75</v>
      </c>
      <c r="G108" s="130">
        <f>IF(C108=0,0,(F108*D108+C108))</f>
        <v>3605.25</v>
      </c>
      <c r="H108" s="130">
        <f>IF(C108=0,0,G108-C108)</f>
        <v>155.25</v>
      </c>
      <c r="I108" s="131">
        <f>IF(AND(D108&gt;10,D108&lt;21),0.45,IF(D108&gt;=21,0.4,0.5))*H108</f>
        <v>77.625</v>
      </c>
      <c r="J108" s="115">
        <f>H108-I108</f>
        <v>77.625</v>
      </c>
      <c r="K108" s="132">
        <f>J108*$C$11</f>
        <v>3939.5541375000003</v>
      </c>
      <c r="L108" s="151">
        <f>IF(OR(C108=0,H12=0),J108,(J108/J109*L109)+(0.065/100*(C108/J109)*D108)*(J109-L109))</f>
        <v>76.597499999999997</v>
      </c>
      <c r="M108" s="133">
        <f>L108*$H$11</f>
        <v>3887.40738225</v>
      </c>
      <c r="N108" s="48">
        <f>J108/J121</f>
        <v>0.7752808988764045</v>
      </c>
      <c r="O108" s="49">
        <f>$I$23*0.5</f>
        <v>33.75</v>
      </c>
      <c r="P108" s="50">
        <f>$I$23*0.05</f>
        <v>3.375</v>
      </c>
    </row>
    <row r="109" spans="1:16" s="68" customFormat="1" ht="15" hidden="1" customHeight="1" outlineLevel="1" x14ac:dyDescent="0.25">
      <c r="A109" s="62"/>
      <c r="B109" s="61" t="s">
        <v>26</v>
      </c>
      <c r="C109" s="63"/>
      <c r="D109" s="56"/>
      <c r="E109" s="56"/>
      <c r="F109" s="56"/>
      <c r="G109" s="56"/>
      <c r="H109" s="56"/>
      <c r="I109" s="64"/>
      <c r="J109" s="117">
        <f>C108/50</f>
        <v>69</v>
      </c>
      <c r="K109" s="65"/>
      <c r="L109" s="126">
        <f>FLOOR((J109-($H$12*J109/100)),1)</f>
        <v>68</v>
      </c>
      <c r="M109" s="66"/>
      <c r="N109" s="56"/>
      <c r="O109" s="67"/>
      <c r="P109" s="67"/>
    </row>
    <row r="110" spans="1:16" s="59" customFormat="1" ht="15.75" hidden="1" customHeight="1" outlineLevel="1" x14ac:dyDescent="0.25">
      <c r="A110" s="60"/>
      <c r="B110" s="61" t="s">
        <v>27</v>
      </c>
      <c r="C110" s="52"/>
      <c r="D110" s="52"/>
      <c r="E110" s="52"/>
      <c r="F110" s="52"/>
      <c r="G110" s="52"/>
      <c r="H110" s="52"/>
      <c r="I110" s="53"/>
      <c r="J110" s="118">
        <f>IF(C108=0,0,J108/C108)</f>
        <v>2.2499999999999999E-2</v>
      </c>
      <c r="K110" s="54"/>
      <c r="L110" s="118">
        <f>IF(C108=0,0,L108/C108)</f>
        <v>2.2202173913043476E-2</v>
      </c>
      <c r="M110" s="55"/>
      <c r="N110" s="56"/>
      <c r="O110" s="58"/>
      <c r="P110" s="58"/>
    </row>
    <row r="111" spans="1:16" ht="15.75" hidden="1" customHeight="1" outlineLevel="1" x14ac:dyDescent="0.25">
      <c r="B111" s="69" t="s">
        <v>28</v>
      </c>
      <c r="C111" s="70">
        <f>C112</f>
        <v>0</v>
      </c>
      <c r="D111" s="71">
        <f>IF(C111=0,0,$H$8)</f>
        <v>0</v>
      </c>
      <c r="E111" s="72">
        <f>IF(C111=0,0,$H$16)</f>
        <v>0</v>
      </c>
      <c r="F111" s="72">
        <f>C111*(E111/100)</f>
        <v>0</v>
      </c>
      <c r="G111" s="73">
        <f>(F111*D111+C111)*-1</f>
        <v>0</v>
      </c>
      <c r="H111" s="73">
        <f>C111+G111</f>
        <v>0</v>
      </c>
      <c r="I111" s="70"/>
      <c r="J111" s="119">
        <f>H111</f>
        <v>0</v>
      </c>
      <c r="K111" s="74"/>
      <c r="L111" s="119">
        <f>J111</f>
        <v>0</v>
      </c>
      <c r="M111" s="75"/>
      <c r="N111" s="76"/>
      <c r="O111" s="57"/>
      <c r="P111" s="57"/>
    </row>
    <row r="112" spans="1:16" ht="15.75" hidden="1" customHeight="1" outlineLevel="1" x14ac:dyDescent="0.25">
      <c r="B112" s="69" t="s">
        <v>119</v>
      </c>
      <c r="C112" s="70">
        <f>ROUNDDOWN(H$15/50,0)*50</f>
        <v>0</v>
      </c>
      <c r="D112" s="71">
        <f>IF(C112=0,0,D108)</f>
        <v>0</v>
      </c>
      <c r="E112" s="72">
        <f>IF(C112=0,0,E108)</f>
        <v>0</v>
      </c>
      <c r="F112" s="72">
        <f>IF(C112=0,0,(C112*(E112/100)))</f>
        <v>0</v>
      </c>
      <c r="G112" s="77">
        <f>IF(C112=0,0,(F112*D112+C112))</f>
        <v>0</v>
      </c>
      <c r="H112" s="77">
        <f>IF(C112=0,0,G112-C112)</f>
        <v>0</v>
      </c>
      <c r="I112" s="77">
        <f>IF(AND(D112&gt;10,D112&lt;21),0.45,IF(D112&gt;=21,0.4,0.5))*H112</f>
        <v>0</v>
      </c>
      <c r="J112" s="116">
        <f>H112-I112</f>
        <v>0</v>
      </c>
      <c r="K112" s="78">
        <f>J112*$C$11</f>
        <v>0</v>
      </c>
      <c r="L112" s="116">
        <f>IF(C112=0,J112,(J112/J113*L113)+(0.065/100*(C112/J113)*D108)*(J113-L113))</f>
        <v>0</v>
      </c>
      <c r="M112" s="78">
        <f>L112*$H$11</f>
        <v>0</v>
      </c>
      <c r="N112" s="76"/>
      <c r="O112" s="57"/>
      <c r="P112" s="57"/>
    </row>
    <row r="113" spans="1:16" ht="15.75" hidden="1" customHeight="1" outlineLevel="1" collapsed="1" thickBot="1" x14ac:dyDescent="0.3">
      <c r="B113" s="61" t="s">
        <v>26</v>
      </c>
      <c r="C113" s="79"/>
      <c r="D113" s="52"/>
      <c r="E113" s="52"/>
      <c r="F113" s="52"/>
      <c r="G113" s="52"/>
      <c r="H113" s="52"/>
      <c r="I113" s="52"/>
      <c r="J113" s="120">
        <f>C112/50</f>
        <v>0</v>
      </c>
      <c r="K113" s="80"/>
      <c r="L113" s="127">
        <f>FLOOR((J113-($H$12*J113/100)),1)</f>
        <v>0</v>
      </c>
      <c r="M113" s="55"/>
      <c r="N113" s="56"/>
      <c r="O113" s="57"/>
      <c r="P113" s="57"/>
    </row>
    <row r="114" spans="1:16" ht="24" hidden="1" customHeight="1" outlineLevel="1" thickBot="1" x14ac:dyDescent="0.3">
      <c r="B114" s="129" t="s">
        <v>29</v>
      </c>
      <c r="C114" s="129"/>
      <c r="D114" s="129"/>
      <c r="E114" s="129"/>
      <c r="F114" s="129"/>
      <c r="G114" s="134">
        <f>G111+G112</f>
        <v>0</v>
      </c>
      <c r="H114" s="134">
        <f>H111+H112</f>
        <v>0</v>
      </c>
      <c r="I114" s="135">
        <f>I111+I112</f>
        <v>0</v>
      </c>
      <c r="J114" s="121">
        <f>J111+J112</f>
        <v>0</v>
      </c>
      <c r="K114" s="136">
        <f>J114*$C$11</f>
        <v>0</v>
      </c>
      <c r="L114" s="128">
        <f>L111+L112</f>
        <v>0</v>
      </c>
      <c r="M114" s="137">
        <f>L114*$H$11</f>
        <v>0</v>
      </c>
      <c r="N114" s="48">
        <f>J114/J121</f>
        <v>0</v>
      </c>
      <c r="O114" s="57"/>
      <c r="P114" s="57"/>
    </row>
    <row r="115" spans="1:16" ht="15.75" hidden="1" customHeight="1" outlineLevel="1" x14ac:dyDescent="0.25">
      <c r="B115" s="61" t="s">
        <v>30</v>
      </c>
      <c r="C115" s="52"/>
      <c r="D115" s="52"/>
      <c r="E115" s="52"/>
      <c r="F115" s="52"/>
      <c r="G115" s="52"/>
      <c r="H115" s="52"/>
      <c r="I115" s="52"/>
      <c r="J115" s="122">
        <f>IF(C108=0,0,J114/C108)</f>
        <v>0</v>
      </c>
      <c r="K115" s="80"/>
      <c r="L115" s="122">
        <f>IF(C108=0,0,L114/C108)</f>
        <v>0</v>
      </c>
      <c r="M115" s="55"/>
      <c r="N115" s="56"/>
      <c r="O115" s="57"/>
      <c r="P115" s="57"/>
    </row>
    <row r="116" spans="1:16" s="82" customFormat="1" ht="15.75" hidden="1" customHeight="1" outlineLevel="1" x14ac:dyDescent="0.25">
      <c r="A116" s="4"/>
      <c r="B116" s="69" t="s">
        <v>31</v>
      </c>
      <c r="C116" s="70">
        <f>IF(AND($H$18=TRUE,H8&gt;0,H12&gt;0,H13&gt;0,H14&gt;0),(IF(($H$14+$H$15)*3&lt;3000,ROUNDDOWN((($H$14+$H$15)*3)/50,0)*50,3000)),0)</f>
        <v>3000</v>
      </c>
      <c r="D116" s="71">
        <f>IF(C116=0,0,$H$8+$H$17)</f>
        <v>3</v>
      </c>
      <c r="E116" s="72">
        <f>IF(C116=0,0,0.5)</f>
        <v>0.5</v>
      </c>
      <c r="F116" s="72">
        <f>C116*(E116/100)</f>
        <v>15</v>
      </c>
      <c r="G116" s="73">
        <f>(F116*D116+C116)*-1</f>
        <v>-3045</v>
      </c>
      <c r="H116" s="73">
        <f>C116+G116</f>
        <v>-45</v>
      </c>
      <c r="I116" s="70"/>
      <c r="J116" s="119">
        <f>H116</f>
        <v>-45</v>
      </c>
      <c r="K116" s="74"/>
      <c r="L116" s="119">
        <f>J116</f>
        <v>-45</v>
      </c>
      <c r="M116" s="75"/>
      <c r="N116" s="76"/>
      <c r="O116" s="81"/>
      <c r="P116" s="81"/>
    </row>
    <row r="117" spans="1:16" s="82" customFormat="1" ht="15.75" hidden="1" customHeight="1" outlineLevel="1" x14ac:dyDescent="0.25">
      <c r="A117" s="4"/>
      <c r="B117" s="69" t="s">
        <v>32</v>
      </c>
      <c r="C117" s="70">
        <f>C116</f>
        <v>3000</v>
      </c>
      <c r="D117" s="71">
        <f>IF(C117=0,0,D108)</f>
        <v>3</v>
      </c>
      <c r="E117" s="72">
        <f>IF(C117=0,0,E108)</f>
        <v>1.5</v>
      </c>
      <c r="F117" s="72">
        <f>IF(C117=0,0,C117*(E117/100))</f>
        <v>45</v>
      </c>
      <c r="G117" s="70">
        <f>IF(C117=0,0,F117*D117+C117)</f>
        <v>3135</v>
      </c>
      <c r="H117" s="77">
        <f>IF(C117=0,0,G117-C117)</f>
        <v>135</v>
      </c>
      <c r="I117" s="77">
        <f>IF(AND(D117&gt;10,D117&lt;21),0.45,IF(D117&gt;=21,0.4,0.5))*H117</f>
        <v>67.5</v>
      </c>
      <c r="J117" s="116">
        <f>H117-I117</f>
        <v>67.5</v>
      </c>
      <c r="K117" s="78"/>
      <c r="L117" s="116">
        <f>IF(C117=0,J117,(J117/J118*L118)+(0.065/100*(C117/J118)*D117)*(J118-L118))</f>
        <v>66.472499999999997</v>
      </c>
      <c r="M117" s="75"/>
      <c r="N117" s="76"/>
      <c r="O117" s="81"/>
      <c r="P117" s="81"/>
    </row>
    <row r="118" spans="1:16" s="86" customFormat="1" ht="15.75" hidden="1" customHeight="1" outlineLevel="1" collapsed="1" thickBot="1" x14ac:dyDescent="0.3">
      <c r="A118" s="83"/>
      <c r="B118" s="61" t="s">
        <v>26</v>
      </c>
      <c r="C118" s="63"/>
      <c r="D118" s="56"/>
      <c r="E118" s="56"/>
      <c r="F118" s="56"/>
      <c r="G118" s="56"/>
      <c r="H118" s="56"/>
      <c r="I118" s="56"/>
      <c r="J118" s="120">
        <f>C117/50</f>
        <v>60</v>
      </c>
      <c r="K118" s="84"/>
      <c r="L118" s="120">
        <f>FLOOR((J118-($H$12*J118/100)),1)</f>
        <v>59</v>
      </c>
      <c r="M118" s="66"/>
      <c r="N118" s="56"/>
      <c r="O118" s="85"/>
      <c r="P118" s="85"/>
    </row>
    <row r="119" spans="1:16" s="89" customFormat="1" ht="23.25" hidden="1" customHeight="1" outlineLevel="1" thickBot="1" x14ac:dyDescent="0.3">
      <c r="A119" s="87"/>
      <c r="B119" s="129" t="s">
        <v>33</v>
      </c>
      <c r="C119" s="138"/>
      <c r="D119" s="138"/>
      <c r="E119" s="138"/>
      <c r="F119" s="138"/>
      <c r="G119" s="130">
        <f>G117+G116</f>
        <v>90</v>
      </c>
      <c r="H119" s="130">
        <f>H117+H116</f>
        <v>90</v>
      </c>
      <c r="I119" s="131">
        <f>I117</f>
        <v>67.5</v>
      </c>
      <c r="J119" s="123">
        <f>J117+J116</f>
        <v>22.5</v>
      </c>
      <c r="K119" s="132">
        <f>J119*$C$11</f>
        <v>1141.89975</v>
      </c>
      <c r="L119" s="125">
        <f>L117+L116</f>
        <v>21.472499999999997</v>
      </c>
      <c r="M119" s="132">
        <f>L119*$H$11</f>
        <v>1089.7529947499997</v>
      </c>
      <c r="N119" s="48">
        <f>J119/J121</f>
        <v>0.2247191011235955</v>
      </c>
      <c r="O119" s="88"/>
      <c r="P119" s="88"/>
    </row>
    <row r="120" spans="1:16" ht="16.5" hidden="1" customHeight="1" outlineLevel="1" thickBot="1" x14ac:dyDescent="0.3">
      <c r="B120" s="61" t="s">
        <v>34</v>
      </c>
      <c r="C120" s="52"/>
      <c r="D120" s="52"/>
      <c r="E120" s="52"/>
      <c r="F120" s="52"/>
      <c r="G120" s="52"/>
      <c r="H120" s="52"/>
      <c r="I120" s="52"/>
      <c r="J120" s="124">
        <f>IF(C108=0,0,J119/C108)</f>
        <v>6.5217391304347823E-3</v>
      </c>
      <c r="K120" s="80"/>
      <c r="L120" s="124">
        <f>IF(C108=0,0,L119/C108)</f>
        <v>6.2239130434782602E-3</v>
      </c>
      <c r="M120" s="55"/>
      <c r="N120" s="56"/>
      <c r="O120" s="57"/>
      <c r="P120" s="57"/>
    </row>
    <row r="121" spans="1:16" s="92" customFormat="1" ht="28.5" hidden="1" customHeight="1" outlineLevel="1" thickBot="1" x14ac:dyDescent="0.3">
      <c r="A121" s="15"/>
      <c r="B121" s="139" t="s">
        <v>35</v>
      </c>
      <c r="C121" s="140">
        <f>C108+C117-C116+C111-C112</f>
        <v>3450</v>
      </c>
      <c r="D121" s="129"/>
      <c r="E121" s="129"/>
      <c r="F121" s="129"/>
      <c r="G121" s="134">
        <f t="shared" ref="G121:M121" si="9">G108+G119+G114</f>
        <v>3695.25</v>
      </c>
      <c r="H121" s="134">
        <f t="shared" si="9"/>
        <v>245.25</v>
      </c>
      <c r="I121" s="135">
        <f t="shared" si="9"/>
        <v>145.125</v>
      </c>
      <c r="J121" s="121">
        <f t="shared" si="9"/>
        <v>100.125</v>
      </c>
      <c r="K121" s="136">
        <f t="shared" si="9"/>
        <v>5081.4538874999998</v>
      </c>
      <c r="L121" s="128">
        <f>L108+L119+L114</f>
        <v>98.07</v>
      </c>
      <c r="M121" s="137">
        <f t="shared" si="9"/>
        <v>4977.1603770000002</v>
      </c>
      <c r="N121" s="90"/>
      <c r="O121" s="91"/>
      <c r="P121" s="91"/>
    </row>
    <row r="122" spans="1:16" s="82" customFormat="1" ht="15.75" hidden="1" customHeight="1" outlineLevel="1" x14ac:dyDescent="0.25">
      <c r="A122" s="4"/>
      <c r="B122" s="93" t="s">
        <v>36</v>
      </c>
      <c r="C122" s="70"/>
      <c r="D122" s="94"/>
      <c r="E122" s="95"/>
      <c r="F122" s="95"/>
      <c r="G122" s="95"/>
      <c r="H122" s="95"/>
      <c r="I122" s="95"/>
      <c r="J122" s="124">
        <f>IF(C108=0,0,J121/C108)</f>
        <v>2.9021739130434782E-2</v>
      </c>
      <c r="K122" s="96"/>
      <c r="L122" s="124">
        <f>IF(C108=0,0,L121/C108)</f>
        <v>2.8426086956521737E-2</v>
      </c>
      <c r="M122" s="97"/>
      <c r="N122" s="98"/>
      <c r="O122" s="81"/>
      <c r="P122" s="81"/>
    </row>
    <row r="123" spans="1:16" s="82" customFormat="1" ht="15.75" hidden="1" customHeight="1" outlineLevel="1" x14ac:dyDescent="0.25">
      <c r="A123" s="4"/>
      <c r="B123" s="99" t="s">
        <v>37</v>
      </c>
      <c r="C123" s="70"/>
      <c r="D123" s="100"/>
      <c r="E123" s="56"/>
      <c r="F123" s="56"/>
      <c r="G123" s="56"/>
      <c r="H123" s="56"/>
      <c r="I123" s="56"/>
      <c r="J123" s="117">
        <f>J109+J113+J118</f>
        <v>129</v>
      </c>
      <c r="K123" s="84"/>
      <c r="L123" s="117">
        <f>L109+L113+L118</f>
        <v>127</v>
      </c>
      <c r="M123" s="66"/>
      <c r="N123" s="56"/>
      <c r="O123" s="81"/>
      <c r="P123" s="81"/>
    </row>
    <row r="124" spans="1:16" s="29" customFormat="1" ht="15.75" hidden="1" customHeight="1" outlineLevel="1" thickBot="1" x14ac:dyDescent="0.3">
      <c r="A124" s="9"/>
      <c r="B124" s="146"/>
      <c r="C124" s="147"/>
      <c r="D124" s="35"/>
      <c r="G124" s="34"/>
      <c r="O124" s="30"/>
      <c r="P124" s="30"/>
    </row>
    <row r="125" spans="1:16" s="51" customFormat="1" ht="25.5" hidden="1" customHeight="1" outlineLevel="1" thickBot="1" x14ac:dyDescent="0.3">
      <c r="A125" s="15"/>
      <c r="B125" s="129" t="s">
        <v>25</v>
      </c>
      <c r="C125" s="129">
        <f>IF(OR(I8=0,I13=0),0,ROUNDDOWN($I$14/50,0)*50)</f>
        <v>3550</v>
      </c>
      <c r="D125" s="129">
        <f>IF(C125=0,0,$I$8)</f>
        <v>3</v>
      </c>
      <c r="E125" s="130">
        <f>IF(C125=0,0,$I$13)</f>
        <v>1.5</v>
      </c>
      <c r="F125" s="130">
        <f>IF(C125=0,0,(C125*(E125/100)))</f>
        <v>53.25</v>
      </c>
      <c r="G125" s="130">
        <f>IF(C125=0,0,(F125*D125+C125))</f>
        <v>3709.75</v>
      </c>
      <c r="H125" s="130">
        <f>IF(C125=0,0,G125-C125)</f>
        <v>159.75</v>
      </c>
      <c r="I125" s="131">
        <f>IF(AND(D125&gt;10,D125&lt;21),0.45,IF(D125&gt;=21,0.4,0.5))*H125</f>
        <v>79.875</v>
      </c>
      <c r="J125" s="115">
        <f>H125-I125</f>
        <v>79.875</v>
      </c>
      <c r="K125" s="132">
        <f>J125*$C$11</f>
        <v>4053.7441125</v>
      </c>
      <c r="L125" s="151">
        <f>IF(OR(C125=0,I12=0),J125,(J125/J126*L126)+(0.065/100*(C125/J126)*D125)*(J126-L126))</f>
        <v>78.847499999999997</v>
      </c>
      <c r="M125" s="133">
        <f>L125*$I$11</f>
        <v>4001.5973572499997</v>
      </c>
      <c r="N125" s="48">
        <f>J125/J138</f>
        <v>0.78021978021978022</v>
      </c>
      <c r="O125" s="49">
        <f>$I$23*0.5</f>
        <v>33.75</v>
      </c>
      <c r="P125" s="50">
        <f>$I$23*0.05</f>
        <v>3.375</v>
      </c>
    </row>
    <row r="126" spans="1:16" s="68" customFormat="1" ht="15" hidden="1" customHeight="1" outlineLevel="1" x14ac:dyDescent="0.25">
      <c r="A126" s="62"/>
      <c r="B126" s="61" t="s">
        <v>26</v>
      </c>
      <c r="C126" s="63"/>
      <c r="D126" s="56"/>
      <c r="E126" s="56"/>
      <c r="F126" s="56"/>
      <c r="G126" s="56"/>
      <c r="H126" s="56"/>
      <c r="I126" s="64"/>
      <c r="J126" s="117">
        <f>C125/50</f>
        <v>71</v>
      </c>
      <c r="K126" s="65"/>
      <c r="L126" s="126">
        <f>FLOOR((J126-($I$12*J126/100)),1)</f>
        <v>70</v>
      </c>
      <c r="M126" s="66"/>
      <c r="N126" s="56"/>
      <c r="O126" s="67"/>
      <c r="P126" s="67"/>
    </row>
    <row r="127" spans="1:16" s="59" customFormat="1" ht="15.75" hidden="1" customHeight="1" outlineLevel="1" x14ac:dyDescent="0.25">
      <c r="A127" s="60"/>
      <c r="B127" s="61" t="s">
        <v>27</v>
      </c>
      <c r="C127" s="52"/>
      <c r="D127" s="52"/>
      <c r="E127" s="52"/>
      <c r="F127" s="52"/>
      <c r="G127" s="52"/>
      <c r="H127" s="52"/>
      <c r="I127" s="53"/>
      <c r="J127" s="118">
        <f>IF(C125=0,0,J125/C125)</f>
        <v>2.2499999999999999E-2</v>
      </c>
      <c r="K127" s="54"/>
      <c r="L127" s="118">
        <f>IF(C125=0,0,L125/C125)</f>
        <v>2.2210563380281691E-2</v>
      </c>
      <c r="M127" s="55"/>
      <c r="N127" s="56"/>
      <c r="O127" s="58"/>
      <c r="P127" s="58"/>
    </row>
    <row r="128" spans="1:16" ht="15.75" hidden="1" customHeight="1" outlineLevel="1" x14ac:dyDescent="0.25">
      <c r="B128" s="69" t="s">
        <v>28</v>
      </c>
      <c r="C128" s="70">
        <f>C129</f>
        <v>0</v>
      </c>
      <c r="D128" s="71">
        <f>IF(C128=0,0,$I$8)</f>
        <v>0</v>
      </c>
      <c r="E128" s="72">
        <f>IF(C128=0,0,$I$16)</f>
        <v>0</v>
      </c>
      <c r="F128" s="72">
        <f>C128*(E128/100)</f>
        <v>0</v>
      </c>
      <c r="G128" s="73">
        <f>(F128*D128+C128)*-1</f>
        <v>0</v>
      </c>
      <c r="H128" s="73">
        <f>C128+G128</f>
        <v>0</v>
      </c>
      <c r="I128" s="70"/>
      <c r="J128" s="119">
        <f>H128</f>
        <v>0</v>
      </c>
      <c r="K128" s="74"/>
      <c r="L128" s="119">
        <f>J128</f>
        <v>0</v>
      </c>
      <c r="M128" s="75"/>
      <c r="N128" s="76"/>
      <c r="O128" s="57"/>
      <c r="P128" s="57"/>
    </row>
    <row r="129" spans="1:16" ht="15.75" hidden="1" customHeight="1" outlineLevel="1" x14ac:dyDescent="0.25">
      <c r="B129" s="69" t="s">
        <v>119</v>
      </c>
      <c r="C129" s="70">
        <f>ROUNDDOWN(I$15/50,0)*50</f>
        <v>0</v>
      </c>
      <c r="D129" s="71">
        <f>IF(C129=0,0,D125)</f>
        <v>0</v>
      </c>
      <c r="E129" s="72">
        <f>IF(C129=0,0,E125)</f>
        <v>0</v>
      </c>
      <c r="F129" s="72">
        <f>IF(C129=0,0,(C129*(E129/100)))</f>
        <v>0</v>
      </c>
      <c r="G129" s="77">
        <f>IF(C129=0,0,(F129*D129+C129))</f>
        <v>0</v>
      </c>
      <c r="H129" s="77">
        <f>IF(C129=0,0,G129-C129)</f>
        <v>0</v>
      </c>
      <c r="I129" s="77">
        <f>IF(AND(D129&gt;10,D129&lt;21),0.45,IF(D129&gt;=21,0.4,0.5))*H129</f>
        <v>0</v>
      </c>
      <c r="J129" s="116">
        <f>H129-I129</f>
        <v>0</v>
      </c>
      <c r="K129" s="78">
        <f>J129*$C$11</f>
        <v>0</v>
      </c>
      <c r="L129" s="116">
        <f>IF(C129=0,J129,(J129/J130*L130)+(0.065/100*(C129/J130)*D125)*(J130-L130))</f>
        <v>0</v>
      </c>
      <c r="M129" s="78">
        <f>L129*$I$11</f>
        <v>0</v>
      </c>
      <c r="N129" s="76"/>
      <c r="O129" s="57"/>
      <c r="P129" s="57"/>
    </row>
    <row r="130" spans="1:16" ht="15.75" hidden="1" customHeight="1" outlineLevel="1" collapsed="1" thickBot="1" x14ac:dyDescent="0.3">
      <c r="B130" s="61" t="s">
        <v>26</v>
      </c>
      <c r="C130" s="79"/>
      <c r="D130" s="52"/>
      <c r="E130" s="52"/>
      <c r="F130" s="52"/>
      <c r="G130" s="52"/>
      <c r="H130" s="52"/>
      <c r="I130" s="52"/>
      <c r="J130" s="120">
        <f>C129/50</f>
        <v>0</v>
      </c>
      <c r="K130" s="80"/>
      <c r="L130" s="127">
        <f>FLOOR((J130-($I$12*J130/100)),1)</f>
        <v>0</v>
      </c>
      <c r="M130" s="55"/>
      <c r="N130" s="56"/>
      <c r="O130" s="57"/>
      <c r="P130" s="57"/>
    </row>
    <row r="131" spans="1:16" ht="24" hidden="1" customHeight="1" outlineLevel="1" thickBot="1" x14ac:dyDescent="0.3">
      <c r="B131" s="129" t="s">
        <v>29</v>
      </c>
      <c r="C131" s="129"/>
      <c r="D131" s="129"/>
      <c r="E131" s="129"/>
      <c r="F131" s="129"/>
      <c r="G131" s="134">
        <f>G128+G129</f>
        <v>0</v>
      </c>
      <c r="H131" s="134">
        <f>H128+H129</f>
        <v>0</v>
      </c>
      <c r="I131" s="135">
        <f>I128+I129</f>
        <v>0</v>
      </c>
      <c r="J131" s="121">
        <f>J128+J129</f>
        <v>0</v>
      </c>
      <c r="K131" s="136">
        <f>J131*$C$11</f>
        <v>0</v>
      </c>
      <c r="L131" s="128">
        <f>L128+L129</f>
        <v>0</v>
      </c>
      <c r="M131" s="137">
        <f>L131*$I$11</f>
        <v>0</v>
      </c>
      <c r="N131" s="48">
        <f>J131/J138</f>
        <v>0</v>
      </c>
      <c r="O131" s="57"/>
      <c r="P131" s="57"/>
    </row>
    <row r="132" spans="1:16" ht="15.75" hidden="1" customHeight="1" outlineLevel="1" x14ac:dyDescent="0.25">
      <c r="B132" s="61" t="s">
        <v>30</v>
      </c>
      <c r="C132" s="52"/>
      <c r="D132" s="52"/>
      <c r="E132" s="52"/>
      <c r="F132" s="52"/>
      <c r="G132" s="52"/>
      <c r="H132" s="52"/>
      <c r="I132" s="52"/>
      <c r="J132" s="122">
        <f>IF(C125=0,0,J131/C125)</f>
        <v>0</v>
      </c>
      <c r="K132" s="80"/>
      <c r="L132" s="122">
        <f>IF(C125=0,0,L131/C125)</f>
        <v>0</v>
      </c>
      <c r="M132" s="55"/>
      <c r="N132" s="56"/>
      <c r="O132" s="57"/>
      <c r="P132" s="57"/>
    </row>
    <row r="133" spans="1:16" s="82" customFormat="1" ht="15.75" hidden="1" customHeight="1" outlineLevel="1" x14ac:dyDescent="0.25">
      <c r="A133" s="4"/>
      <c r="B133" s="69" t="s">
        <v>31</v>
      </c>
      <c r="C133" s="70">
        <f>IF(AND($I$18=TRUE,I8&gt;0,I12&gt;0,I13&gt;0,I14&gt;0),(IF(($I$14+$I$15)*3&lt;3000,ROUNDDOWN((($I$14+$I$15)*3)/50,0)*50,3000)),0)</f>
        <v>3000</v>
      </c>
      <c r="D133" s="71">
        <f>IF(C133=0,0,$I$8+$I$17)</f>
        <v>3</v>
      </c>
      <c r="E133" s="72">
        <f>IF(C133=0,0,0.5)</f>
        <v>0.5</v>
      </c>
      <c r="F133" s="72">
        <f>C133*(E133/100)</f>
        <v>15</v>
      </c>
      <c r="G133" s="73">
        <f>(F133*D133+C133)*-1</f>
        <v>-3045</v>
      </c>
      <c r="H133" s="73">
        <f>C133+G133</f>
        <v>-45</v>
      </c>
      <c r="I133" s="70"/>
      <c r="J133" s="119">
        <f>H133</f>
        <v>-45</v>
      </c>
      <c r="K133" s="74"/>
      <c r="L133" s="119">
        <f>J133</f>
        <v>-45</v>
      </c>
      <c r="M133" s="75"/>
      <c r="N133" s="76"/>
      <c r="O133" s="81"/>
      <c r="P133" s="81"/>
    </row>
    <row r="134" spans="1:16" s="82" customFormat="1" ht="15.75" hidden="1" customHeight="1" outlineLevel="1" x14ac:dyDescent="0.25">
      <c r="A134" s="4"/>
      <c r="B134" s="69" t="s">
        <v>32</v>
      </c>
      <c r="C134" s="70">
        <f>C133</f>
        <v>3000</v>
      </c>
      <c r="D134" s="71">
        <f>IF(C134=0,0,D125)</f>
        <v>3</v>
      </c>
      <c r="E134" s="72">
        <f>IF(C134=0,0,E125)</f>
        <v>1.5</v>
      </c>
      <c r="F134" s="72">
        <f>IF(C134=0,0,C134*(E134/100))</f>
        <v>45</v>
      </c>
      <c r="G134" s="70">
        <f>IF(C134=0,0,F134*D134+C134)</f>
        <v>3135</v>
      </c>
      <c r="H134" s="77">
        <f>IF(C134=0,0,G134-C134)</f>
        <v>135</v>
      </c>
      <c r="I134" s="77">
        <f>IF(AND(D134&gt;10,D134&lt;21),0.45,IF(D134&gt;=21,0.4,0.5))*H134</f>
        <v>67.5</v>
      </c>
      <c r="J134" s="116">
        <f>H134-I134</f>
        <v>67.5</v>
      </c>
      <c r="K134" s="78"/>
      <c r="L134" s="116">
        <f>IF(C134=0,J134,(J134/J135*L135)+(0.065/100*(C134/J135)*D134)*(J135-L135))</f>
        <v>66.472499999999997</v>
      </c>
      <c r="M134" s="75"/>
      <c r="N134" s="76"/>
      <c r="O134" s="81"/>
      <c r="P134" s="81"/>
    </row>
    <row r="135" spans="1:16" s="86" customFormat="1" ht="15.75" hidden="1" customHeight="1" outlineLevel="1" collapsed="1" thickBot="1" x14ac:dyDescent="0.3">
      <c r="A135" s="83"/>
      <c r="B135" s="61" t="s">
        <v>26</v>
      </c>
      <c r="C135" s="63"/>
      <c r="D135" s="56"/>
      <c r="E135" s="56"/>
      <c r="F135" s="56"/>
      <c r="G135" s="56"/>
      <c r="H135" s="56"/>
      <c r="I135" s="56"/>
      <c r="J135" s="120">
        <f>C134/50</f>
        <v>60</v>
      </c>
      <c r="K135" s="84"/>
      <c r="L135" s="120">
        <f>FLOOR((J135-($I$12*J135/100)),1)</f>
        <v>59</v>
      </c>
      <c r="M135" s="66"/>
      <c r="N135" s="56"/>
      <c r="O135" s="85"/>
      <c r="P135" s="85"/>
    </row>
    <row r="136" spans="1:16" s="89" customFormat="1" ht="23.25" hidden="1" customHeight="1" outlineLevel="1" thickBot="1" x14ac:dyDescent="0.3">
      <c r="A136" s="87"/>
      <c r="B136" s="129" t="s">
        <v>33</v>
      </c>
      <c r="C136" s="138"/>
      <c r="D136" s="138"/>
      <c r="E136" s="138"/>
      <c r="F136" s="138"/>
      <c r="G136" s="130">
        <f>G134+G133</f>
        <v>90</v>
      </c>
      <c r="H136" s="130">
        <f>H134+H133</f>
        <v>90</v>
      </c>
      <c r="I136" s="131">
        <f>I134</f>
        <v>67.5</v>
      </c>
      <c r="J136" s="123">
        <f>J134+J133</f>
        <v>22.5</v>
      </c>
      <c r="K136" s="132">
        <f>J136*$C$11</f>
        <v>1141.89975</v>
      </c>
      <c r="L136" s="125">
        <f>L134+L133</f>
        <v>21.472499999999997</v>
      </c>
      <c r="M136" s="132">
        <f>L136*$I$11</f>
        <v>1089.7529947499997</v>
      </c>
      <c r="N136" s="48">
        <f>J136/J138</f>
        <v>0.21978021978021978</v>
      </c>
      <c r="O136" s="88"/>
      <c r="P136" s="88"/>
    </row>
    <row r="137" spans="1:16" ht="16.5" hidden="1" customHeight="1" outlineLevel="1" thickBot="1" x14ac:dyDescent="0.3">
      <c r="B137" s="61" t="s">
        <v>34</v>
      </c>
      <c r="C137" s="52"/>
      <c r="D137" s="52"/>
      <c r="E137" s="52"/>
      <c r="F137" s="52"/>
      <c r="G137" s="52"/>
      <c r="H137" s="52"/>
      <c r="I137" s="52"/>
      <c r="J137" s="124">
        <f>IF(C125=0,0,J136/C125)</f>
        <v>6.3380281690140847E-3</v>
      </c>
      <c r="K137" s="80"/>
      <c r="L137" s="124">
        <f>IF(C125=0,0,L136/C125)</f>
        <v>6.0485915492957737E-3</v>
      </c>
      <c r="M137" s="55"/>
      <c r="N137" s="56"/>
      <c r="O137" s="57"/>
      <c r="P137" s="57"/>
    </row>
    <row r="138" spans="1:16" s="92" customFormat="1" ht="28.5" hidden="1" customHeight="1" outlineLevel="1" thickBot="1" x14ac:dyDescent="0.3">
      <c r="A138" s="15"/>
      <c r="B138" s="139" t="s">
        <v>35</v>
      </c>
      <c r="C138" s="140">
        <f>C125+C134-C133+C128-C129</f>
        <v>3550</v>
      </c>
      <c r="D138" s="129"/>
      <c r="E138" s="129"/>
      <c r="F138" s="129"/>
      <c r="G138" s="134">
        <f t="shared" ref="G138:M138" si="10">G125+G136+G131</f>
        <v>3799.75</v>
      </c>
      <c r="H138" s="134">
        <f t="shared" si="10"/>
        <v>249.75</v>
      </c>
      <c r="I138" s="135">
        <f t="shared" si="10"/>
        <v>147.375</v>
      </c>
      <c r="J138" s="121">
        <f t="shared" si="10"/>
        <v>102.375</v>
      </c>
      <c r="K138" s="136">
        <f t="shared" si="10"/>
        <v>5195.6438625000001</v>
      </c>
      <c r="L138" s="128">
        <f>L125+L136+L131</f>
        <v>100.32</v>
      </c>
      <c r="M138" s="137">
        <f t="shared" si="10"/>
        <v>5091.3503519999995</v>
      </c>
      <c r="N138" s="90"/>
      <c r="O138" s="91"/>
      <c r="P138" s="91"/>
    </row>
    <row r="139" spans="1:16" s="82" customFormat="1" ht="15.75" hidden="1" customHeight="1" outlineLevel="1" x14ac:dyDescent="0.25">
      <c r="A139" s="4"/>
      <c r="B139" s="93" t="s">
        <v>36</v>
      </c>
      <c r="C139" s="70"/>
      <c r="D139" s="94"/>
      <c r="E139" s="95"/>
      <c r="F139" s="95"/>
      <c r="G139" s="95"/>
      <c r="H139" s="95"/>
      <c r="I139" s="95"/>
      <c r="J139" s="124">
        <f>IF(C125=0,0,J138/C125)</f>
        <v>2.8838028169014086E-2</v>
      </c>
      <c r="K139" s="96"/>
      <c r="L139" s="124">
        <f>IF(C125=0,0,L138/C125)</f>
        <v>2.8259154929577462E-2</v>
      </c>
      <c r="M139" s="97"/>
      <c r="N139" s="98"/>
      <c r="O139" s="81"/>
      <c r="P139" s="81"/>
    </row>
    <row r="140" spans="1:16" s="82" customFormat="1" ht="15.75" hidden="1" customHeight="1" outlineLevel="1" x14ac:dyDescent="0.25">
      <c r="A140" s="4"/>
      <c r="B140" s="99" t="s">
        <v>37</v>
      </c>
      <c r="C140" s="70"/>
      <c r="D140" s="100"/>
      <c r="E140" s="56"/>
      <c r="F140" s="56"/>
      <c r="G140" s="56"/>
      <c r="H140" s="56"/>
      <c r="I140" s="56"/>
      <c r="J140" s="117">
        <f>J126+J130+J135</f>
        <v>131</v>
      </c>
      <c r="K140" s="84"/>
      <c r="L140" s="154">
        <f>L126+L130+L135</f>
        <v>129</v>
      </c>
      <c r="M140" s="66"/>
      <c r="N140" s="56"/>
      <c r="O140" s="81"/>
      <c r="P140" s="81"/>
    </row>
    <row r="141" spans="1:16" s="29" customFormat="1" ht="15.75" hidden="1" customHeight="1" outlineLevel="1" thickBot="1" x14ac:dyDescent="0.3">
      <c r="A141" s="9"/>
      <c r="B141" s="146"/>
      <c r="C141" s="147"/>
      <c r="D141" s="35"/>
      <c r="G141" s="34"/>
      <c r="O141" s="30"/>
      <c r="P141" s="30"/>
    </row>
    <row r="142" spans="1:16" s="51" customFormat="1" ht="25.5" hidden="1" customHeight="1" outlineLevel="1" thickBot="1" x14ac:dyDescent="0.3">
      <c r="A142" s="15"/>
      <c r="B142" s="129" t="s">
        <v>25</v>
      </c>
      <c r="C142" s="129">
        <f>IF(OR(J8=0,J13=0),0,ROUNDDOWN($J$14/50,0)*50)</f>
        <v>3650</v>
      </c>
      <c r="D142" s="129">
        <f>IF(C142=0,0,$J$8)</f>
        <v>3</v>
      </c>
      <c r="E142" s="130">
        <f>IF(C142=0,0,$J$13)</f>
        <v>1.5</v>
      </c>
      <c r="F142" s="130">
        <f>IF(C142=0,0,(C142*(E142/100)))</f>
        <v>54.75</v>
      </c>
      <c r="G142" s="130">
        <f>IF(C142=0,0,(F142*D142+C142))</f>
        <v>3814.25</v>
      </c>
      <c r="H142" s="130">
        <f>IF(C142=0,0,G142-C142)</f>
        <v>164.25</v>
      </c>
      <c r="I142" s="131">
        <f>IF(AND(D142&gt;10,D142&lt;21),0.45,IF(D142&gt;=21,0.4,0.5))*H142</f>
        <v>82.125</v>
      </c>
      <c r="J142" s="115">
        <f>H142-I142</f>
        <v>82.125</v>
      </c>
      <c r="K142" s="132">
        <f>J142*$C$11</f>
        <v>4167.9340874999998</v>
      </c>
      <c r="L142" s="151">
        <f>IF(OR(C142=0,J12=0),J142,(J142/J143*L143)+(0.065/100*(C142/J143)*D142)*(J143-L143))</f>
        <v>81.097499999999997</v>
      </c>
      <c r="M142" s="133">
        <f>L142*$J$11</f>
        <v>4115.78733225</v>
      </c>
      <c r="N142" s="48">
        <f>J142/J155</f>
        <v>0.78494623655913975</v>
      </c>
      <c r="O142" s="49">
        <f>$I$23*0.5</f>
        <v>33.75</v>
      </c>
      <c r="P142" s="50">
        <f>$I$23*0.05</f>
        <v>3.375</v>
      </c>
    </row>
    <row r="143" spans="1:16" s="68" customFormat="1" ht="15" hidden="1" customHeight="1" outlineLevel="1" x14ac:dyDescent="0.25">
      <c r="A143" s="62"/>
      <c r="B143" s="61" t="s">
        <v>26</v>
      </c>
      <c r="C143" s="63"/>
      <c r="D143" s="56"/>
      <c r="E143" s="56"/>
      <c r="F143" s="56"/>
      <c r="G143" s="56"/>
      <c r="H143" s="56"/>
      <c r="I143" s="64"/>
      <c r="J143" s="117">
        <f>C142/50</f>
        <v>73</v>
      </c>
      <c r="K143" s="65"/>
      <c r="L143" s="126">
        <f>FLOOR((J143-($J$12*J143/100)),1)</f>
        <v>72</v>
      </c>
      <c r="M143" s="66"/>
      <c r="N143" s="56"/>
      <c r="O143" s="67"/>
      <c r="P143" s="67"/>
    </row>
    <row r="144" spans="1:16" s="59" customFormat="1" ht="15.75" hidden="1" customHeight="1" outlineLevel="1" x14ac:dyDescent="0.25">
      <c r="A144" s="60"/>
      <c r="B144" s="61" t="s">
        <v>27</v>
      </c>
      <c r="C144" s="52"/>
      <c r="D144" s="52"/>
      <c r="E144" s="52"/>
      <c r="F144" s="52"/>
      <c r="G144" s="52"/>
      <c r="H144" s="52"/>
      <c r="I144" s="53"/>
      <c r="J144" s="118">
        <f>IF(C142=0,0,J142/C142)</f>
        <v>2.2499999999999999E-2</v>
      </c>
      <c r="K144" s="54"/>
      <c r="L144" s="118">
        <f>IF(C142=0,0,L142/C142)</f>
        <v>2.2218493150684932E-2</v>
      </c>
      <c r="M144" s="55"/>
      <c r="N144" s="56"/>
      <c r="O144" s="58"/>
      <c r="P144" s="58"/>
    </row>
    <row r="145" spans="1:16" ht="15.75" hidden="1" customHeight="1" outlineLevel="1" x14ac:dyDescent="0.25">
      <c r="B145" s="69" t="s">
        <v>28</v>
      </c>
      <c r="C145" s="70">
        <f>C146</f>
        <v>0</v>
      </c>
      <c r="D145" s="71">
        <f>IF(C145=0,0,$J$8)</f>
        <v>0</v>
      </c>
      <c r="E145" s="72">
        <f>IF(C145=0,0,$J$16)</f>
        <v>0</v>
      </c>
      <c r="F145" s="72">
        <f>C145*(E145/100)</f>
        <v>0</v>
      </c>
      <c r="G145" s="73">
        <f>(F145*D145+C145)*-1</f>
        <v>0</v>
      </c>
      <c r="H145" s="73">
        <f>C145+G145</f>
        <v>0</v>
      </c>
      <c r="I145" s="70"/>
      <c r="J145" s="119">
        <f>H145</f>
        <v>0</v>
      </c>
      <c r="K145" s="74"/>
      <c r="L145" s="119">
        <f>J145</f>
        <v>0</v>
      </c>
      <c r="M145" s="75"/>
      <c r="N145" s="76"/>
      <c r="O145" s="57"/>
      <c r="P145" s="57"/>
    </row>
    <row r="146" spans="1:16" ht="15.75" hidden="1" customHeight="1" outlineLevel="1" x14ac:dyDescent="0.25">
      <c r="B146" s="69" t="s">
        <v>119</v>
      </c>
      <c r="C146" s="70">
        <f>ROUNDDOWN(J$15/50,0)*50</f>
        <v>0</v>
      </c>
      <c r="D146" s="71">
        <f>IF(C146=0,0,D142)</f>
        <v>0</v>
      </c>
      <c r="E146" s="72">
        <f>IF(C146=0,0,E142)</f>
        <v>0</v>
      </c>
      <c r="F146" s="72">
        <f>IF(C146=0,0,(C146*(E146/100)))</f>
        <v>0</v>
      </c>
      <c r="G146" s="77">
        <f>IF(C146=0,0,(F146*D146+C146))</f>
        <v>0</v>
      </c>
      <c r="H146" s="77">
        <f>IF(C146=0,0,G146-C146)</f>
        <v>0</v>
      </c>
      <c r="I146" s="77">
        <f>IF(AND(D146&gt;10,D146&lt;21),0.45,IF(D146&gt;=21,0.4,0.5))*H146</f>
        <v>0</v>
      </c>
      <c r="J146" s="116">
        <f>H146-I146</f>
        <v>0</v>
      </c>
      <c r="K146" s="78">
        <f>J146*$C$11</f>
        <v>0</v>
      </c>
      <c r="L146" s="116">
        <f>IF(C146=0,J146,(J146/J147*L147)+(0.065/100*(C146/J147)*D146)*(J147-L147))</f>
        <v>0</v>
      </c>
      <c r="M146" s="78">
        <f>L146*$J$11</f>
        <v>0</v>
      </c>
      <c r="N146" s="76"/>
      <c r="O146" s="57"/>
      <c r="P146" s="57"/>
    </row>
    <row r="147" spans="1:16" ht="15.75" hidden="1" customHeight="1" outlineLevel="1" collapsed="1" thickBot="1" x14ac:dyDescent="0.3">
      <c r="B147" s="61" t="s">
        <v>26</v>
      </c>
      <c r="C147" s="79"/>
      <c r="D147" s="52"/>
      <c r="E147" s="52"/>
      <c r="F147" s="52"/>
      <c r="G147" s="52"/>
      <c r="H147" s="52"/>
      <c r="I147" s="52"/>
      <c r="J147" s="120">
        <f>C146/50</f>
        <v>0</v>
      </c>
      <c r="K147" s="80"/>
      <c r="L147" s="127">
        <f>FLOOR((J147-($J$12*J147/100)),1)</f>
        <v>0</v>
      </c>
      <c r="M147" s="55"/>
      <c r="N147" s="56"/>
      <c r="O147" s="57"/>
      <c r="P147" s="57"/>
    </row>
    <row r="148" spans="1:16" ht="24" hidden="1" customHeight="1" outlineLevel="1" thickBot="1" x14ac:dyDescent="0.3">
      <c r="B148" s="129" t="s">
        <v>29</v>
      </c>
      <c r="C148" s="129"/>
      <c r="D148" s="129"/>
      <c r="E148" s="129"/>
      <c r="F148" s="129"/>
      <c r="G148" s="134">
        <f>G145+G146</f>
        <v>0</v>
      </c>
      <c r="H148" s="134">
        <f>H145+H146</f>
        <v>0</v>
      </c>
      <c r="I148" s="135">
        <f>I145+I146</f>
        <v>0</v>
      </c>
      <c r="J148" s="121">
        <f>J145+J146</f>
        <v>0</v>
      </c>
      <c r="K148" s="136">
        <f>J148*$C$11</f>
        <v>0</v>
      </c>
      <c r="L148" s="128">
        <f>L145+L146</f>
        <v>0</v>
      </c>
      <c r="M148" s="137">
        <f>L148*$J$11</f>
        <v>0</v>
      </c>
      <c r="N148" s="48">
        <f>J148/J155</f>
        <v>0</v>
      </c>
      <c r="O148" s="57"/>
      <c r="P148" s="57"/>
    </row>
    <row r="149" spans="1:16" ht="15.75" hidden="1" customHeight="1" outlineLevel="1" x14ac:dyDescent="0.25">
      <c r="B149" s="61" t="s">
        <v>30</v>
      </c>
      <c r="C149" s="52"/>
      <c r="D149" s="52"/>
      <c r="E149" s="52"/>
      <c r="F149" s="52"/>
      <c r="G149" s="52"/>
      <c r="H149" s="52"/>
      <c r="I149" s="52"/>
      <c r="J149" s="122">
        <f>IF(C142=0,0,J148/C142)</f>
        <v>0</v>
      </c>
      <c r="K149" s="80"/>
      <c r="L149" s="122">
        <f>IF(C142=0,0,L148/C142)</f>
        <v>0</v>
      </c>
      <c r="M149" s="55"/>
      <c r="N149" s="56"/>
      <c r="O149" s="57"/>
      <c r="P149" s="57"/>
    </row>
    <row r="150" spans="1:16" s="82" customFormat="1" ht="15.75" hidden="1" customHeight="1" outlineLevel="1" x14ac:dyDescent="0.25">
      <c r="A150" s="4"/>
      <c r="B150" s="69" t="s">
        <v>31</v>
      </c>
      <c r="C150" s="70">
        <f>IF(AND($J$18=TRUE,J8&gt;0,J12&gt;0,J13&gt;0,J14&gt;0),(IF(($J$14+$J$15)*3&lt;3000,ROUNDDOWN((($J$14+$J$15)*3)/50,0)*50,3000)),0)</f>
        <v>3000</v>
      </c>
      <c r="D150" s="71">
        <f>IF(C150=0,0,$J$8+$J$17)</f>
        <v>3</v>
      </c>
      <c r="E150" s="72">
        <f>IF(C150=0,0,0.5)</f>
        <v>0.5</v>
      </c>
      <c r="F150" s="72">
        <f>C150*(E150/100)</f>
        <v>15</v>
      </c>
      <c r="G150" s="73">
        <f>(F150*D150+C150)*-1</f>
        <v>-3045</v>
      </c>
      <c r="H150" s="73">
        <f>C150+G150</f>
        <v>-45</v>
      </c>
      <c r="I150" s="70"/>
      <c r="J150" s="119">
        <f>H150</f>
        <v>-45</v>
      </c>
      <c r="K150" s="74"/>
      <c r="L150" s="119">
        <f>J150</f>
        <v>-45</v>
      </c>
      <c r="M150" s="75"/>
      <c r="N150" s="76"/>
      <c r="O150" s="81"/>
      <c r="P150" s="81"/>
    </row>
    <row r="151" spans="1:16" s="82" customFormat="1" ht="15.75" hidden="1" customHeight="1" outlineLevel="1" x14ac:dyDescent="0.25">
      <c r="A151" s="4"/>
      <c r="B151" s="69" t="s">
        <v>32</v>
      </c>
      <c r="C151" s="70">
        <f>C150</f>
        <v>3000</v>
      </c>
      <c r="D151" s="71">
        <f>IF(C151=0,0,D142)</f>
        <v>3</v>
      </c>
      <c r="E151" s="72">
        <f>IF(C151=0,0,E142)</f>
        <v>1.5</v>
      </c>
      <c r="F151" s="72">
        <f>IF(C151=0,0,C151*(E151/100))</f>
        <v>45</v>
      </c>
      <c r="G151" s="70">
        <f>IF(C151=0,0,F151*D151+C151)</f>
        <v>3135</v>
      </c>
      <c r="H151" s="77">
        <f>IF(C151=0,0,G151-C151)</f>
        <v>135</v>
      </c>
      <c r="I151" s="77">
        <f>IF(AND(D151&gt;10,D151&lt;21),0.45,IF(D151&gt;=21,0.4,0.5))*H151</f>
        <v>67.5</v>
      </c>
      <c r="J151" s="116">
        <f>H151-I151</f>
        <v>67.5</v>
      </c>
      <c r="K151" s="78"/>
      <c r="L151" s="116">
        <f>IF(C151=0,J151,(J151/J152*L152)+(0.065/100*(C151/J152)*D151)*(J152-L152))</f>
        <v>66.472499999999997</v>
      </c>
      <c r="M151" s="75"/>
      <c r="N151" s="76"/>
      <c r="O151" s="81"/>
      <c r="P151" s="81"/>
    </row>
    <row r="152" spans="1:16" s="86" customFormat="1" ht="15.75" hidden="1" customHeight="1" outlineLevel="1" collapsed="1" thickBot="1" x14ac:dyDescent="0.3">
      <c r="A152" s="83"/>
      <c r="B152" s="61" t="s">
        <v>26</v>
      </c>
      <c r="C152" s="63"/>
      <c r="D152" s="56"/>
      <c r="E152" s="56"/>
      <c r="F152" s="56"/>
      <c r="G152" s="56"/>
      <c r="H152" s="56"/>
      <c r="I152" s="56"/>
      <c r="J152" s="120">
        <f>C151/50</f>
        <v>60</v>
      </c>
      <c r="K152" s="84"/>
      <c r="L152" s="120">
        <f>FLOOR((J152-($J$12*J152/100)),1)</f>
        <v>59</v>
      </c>
      <c r="M152" s="66"/>
      <c r="N152" s="56"/>
      <c r="O152" s="85"/>
      <c r="P152" s="85"/>
    </row>
    <row r="153" spans="1:16" s="89" customFormat="1" ht="23.25" hidden="1" customHeight="1" outlineLevel="1" thickBot="1" x14ac:dyDescent="0.3">
      <c r="A153" s="87"/>
      <c r="B153" s="129" t="s">
        <v>33</v>
      </c>
      <c r="C153" s="138"/>
      <c r="D153" s="138"/>
      <c r="E153" s="138"/>
      <c r="F153" s="138"/>
      <c r="G153" s="130">
        <f>G151+G150</f>
        <v>90</v>
      </c>
      <c r="H153" s="130">
        <f>H151+H150</f>
        <v>90</v>
      </c>
      <c r="I153" s="131">
        <f>I151</f>
        <v>67.5</v>
      </c>
      <c r="J153" s="123">
        <f>J151+J150</f>
        <v>22.5</v>
      </c>
      <c r="K153" s="132">
        <f>J153*$C$11</f>
        <v>1141.89975</v>
      </c>
      <c r="L153" s="125">
        <f>L151+L150</f>
        <v>21.472499999999997</v>
      </c>
      <c r="M153" s="132">
        <f>L153*$J$11</f>
        <v>1089.7529947499997</v>
      </c>
      <c r="N153" s="48">
        <f>J153/J155</f>
        <v>0.21505376344086022</v>
      </c>
      <c r="O153" s="88"/>
      <c r="P153" s="88"/>
    </row>
    <row r="154" spans="1:16" ht="16.5" hidden="1" customHeight="1" outlineLevel="1" thickBot="1" x14ac:dyDescent="0.3">
      <c r="B154" s="61" t="s">
        <v>34</v>
      </c>
      <c r="C154" s="52"/>
      <c r="D154" s="52"/>
      <c r="E154" s="52"/>
      <c r="F154" s="52"/>
      <c r="G154" s="52"/>
      <c r="H154" s="52"/>
      <c r="I154" s="52"/>
      <c r="J154" s="124">
        <f>IF(C142=0,0,J153/C142)</f>
        <v>6.1643835616438354E-3</v>
      </c>
      <c r="K154" s="80"/>
      <c r="L154" s="124">
        <f>IF(C142=0,0,L153/C142)</f>
        <v>5.8828767123287658E-3</v>
      </c>
      <c r="M154" s="55"/>
      <c r="N154" s="56"/>
      <c r="O154" s="57"/>
      <c r="P154" s="57"/>
    </row>
    <row r="155" spans="1:16" s="92" customFormat="1" ht="28.5" hidden="1" customHeight="1" outlineLevel="1" thickBot="1" x14ac:dyDescent="0.3">
      <c r="A155" s="15"/>
      <c r="B155" s="139" t="s">
        <v>35</v>
      </c>
      <c r="C155" s="140">
        <f>C142+C151-C150+C145-C146</f>
        <v>3650</v>
      </c>
      <c r="D155" s="129"/>
      <c r="E155" s="129"/>
      <c r="F155" s="129"/>
      <c r="G155" s="134">
        <f t="shared" ref="G155:M155" si="11">G142+G153+G148</f>
        <v>3904.25</v>
      </c>
      <c r="H155" s="134">
        <f t="shared" si="11"/>
        <v>254.25</v>
      </c>
      <c r="I155" s="135">
        <f t="shared" si="11"/>
        <v>149.625</v>
      </c>
      <c r="J155" s="121">
        <f t="shared" si="11"/>
        <v>104.625</v>
      </c>
      <c r="K155" s="136">
        <f t="shared" si="11"/>
        <v>5309.8338375000003</v>
      </c>
      <c r="L155" s="128">
        <f>L142+L153+L148</f>
        <v>102.57</v>
      </c>
      <c r="M155" s="137">
        <f t="shared" si="11"/>
        <v>5205.5403269999997</v>
      </c>
      <c r="N155" s="90"/>
      <c r="O155" s="91"/>
      <c r="P155" s="91"/>
    </row>
    <row r="156" spans="1:16" s="82" customFormat="1" ht="15.75" hidden="1" customHeight="1" outlineLevel="1" x14ac:dyDescent="0.25">
      <c r="A156" s="4"/>
      <c r="B156" s="93" t="s">
        <v>36</v>
      </c>
      <c r="C156" s="70"/>
      <c r="D156" s="94"/>
      <c r="E156" s="95"/>
      <c r="F156" s="95"/>
      <c r="G156" s="95"/>
      <c r="H156" s="95"/>
      <c r="I156" s="95"/>
      <c r="J156" s="124">
        <f>IF(C142=0,0,J155/C142)</f>
        <v>2.8664383561643837E-2</v>
      </c>
      <c r="K156" s="96"/>
      <c r="L156" s="124">
        <f>IF(C142=0,0,L155/C142)</f>
        <v>2.8101369863013696E-2</v>
      </c>
      <c r="M156" s="97"/>
      <c r="N156" s="98"/>
      <c r="O156" s="81"/>
      <c r="P156" s="81"/>
    </row>
    <row r="157" spans="1:16" s="82" customFormat="1" ht="15.75" hidden="1" customHeight="1" outlineLevel="1" x14ac:dyDescent="0.25">
      <c r="A157" s="4"/>
      <c r="B157" s="99" t="s">
        <v>37</v>
      </c>
      <c r="C157" s="70"/>
      <c r="D157" s="100"/>
      <c r="E157" s="56"/>
      <c r="F157" s="56"/>
      <c r="G157" s="56"/>
      <c r="H157" s="56"/>
      <c r="I157" s="56"/>
      <c r="J157" s="117">
        <f>J143+J147+J152</f>
        <v>133</v>
      </c>
      <c r="K157" s="84"/>
      <c r="L157" s="154">
        <f>L143+L147+L152</f>
        <v>131</v>
      </c>
      <c r="M157" s="66"/>
      <c r="N157" s="56"/>
      <c r="O157" s="81"/>
      <c r="P157" s="81"/>
    </row>
    <row r="158" spans="1:16" s="29" customFormat="1" ht="15.75" hidden="1" customHeight="1" outlineLevel="1" thickBot="1" x14ac:dyDescent="0.3">
      <c r="A158" s="9"/>
      <c r="B158" s="146"/>
      <c r="C158" s="147"/>
      <c r="D158" s="35"/>
      <c r="G158" s="34"/>
      <c r="O158" s="30"/>
      <c r="P158" s="30"/>
    </row>
    <row r="159" spans="1:16" s="51" customFormat="1" ht="25.5" hidden="1" customHeight="1" outlineLevel="1" thickBot="1" x14ac:dyDescent="0.3">
      <c r="A159" s="15"/>
      <c r="B159" s="129" t="s">
        <v>25</v>
      </c>
      <c r="C159" s="129">
        <f>IF(OR(K8=0,K13=0),0,ROUNDDOWN($K$14/50,0)*50)</f>
        <v>3750</v>
      </c>
      <c r="D159" s="129">
        <f>IF(C159=0,0,$K$8)</f>
        <v>3</v>
      </c>
      <c r="E159" s="130">
        <f>IF(C159=0,0,$K$13)</f>
        <v>1.5</v>
      </c>
      <c r="F159" s="130">
        <f>IF(C159=0,0,(C159*(E159/100)))</f>
        <v>56.25</v>
      </c>
      <c r="G159" s="130">
        <f>IF(C159=0,0,(F159*D159+C159))</f>
        <v>3918.75</v>
      </c>
      <c r="H159" s="130">
        <f>IF(C159=0,0,G159-C159)</f>
        <v>168.75</v>
      </c>
      <c r="I159" s="131">
        <f>IF(AND(D159&gt;10,D159&lt;21),0.45,IF(D159&gt;=21,0.4,0.5))*H159</f>
        <v>84.375</v>
      </c>
      <c r="J159" s="115">
        <f>H159-I159</f>
        <v>84.375</v>
      </c>
      <c r="K159" s="132">
        <f>J159*$C$11</f>
        <v>4282.1240625</v>
      </c>
      <c r="L159" s="151">
        <f>IF(OR(C159=0,K12=0),J159,(J159/J160*L160)+(0.065/100*(C159/J160)*D159)*(J160-L160))</f>
        <v>83.347499999999997</v>
      </c>
      <c r="M159" s="133">
        <f>L159*$K$11</f>
        <v>4229.9773072500002</v>
      </c>
      <c r="N159" s="48">
        <f>J159/J172</f>
        <v>0.78947368421052633</v>
      </c>
      <c r="O159" s="49">
        <f>$I$23*0.5</f>
        <v>33.75</v>
      </c>
      <c r="P159" s="50">
        <f>$I$23*0.05</f>
        <v>3.375</v>
      </c>
    </row>
    <row r="160" spans="1:16" s="68" customFormat="1" ht="15" hidden="1" customHeight="1" outlineLevel="1" x14ac:dyDescent="0.25">
      <c r="A160" s="62"/>
      <c r="B160" s="61" t="s">
        <v>26</v>
      </c>
      <c r="C160" s="63"/>
      <c r="D160" s="56"/>
      <c r="E160" s="56"/>
      <c r="F160" s="56"/>
      <c r="G160" s="56"/>
      <c r="H160" s="56"/>
      <c r="I160" s="64"/>
      <c r="J160" s="117">
        <f>C159/50</f>
        <v>75</v>
      </c>
      <c r="K160" s="65"/>
      <c r="L160" s="126">
        <f>FLOOR((J160-($K$12*J160/100)),1)</f>
        <v>74</v>
      </c>
      <c r="M160" s="66"/>
      <c r="N160" s="56"/>
      <c r="O160" s="67"/>
      <c r="P160" s="67"/>
    </row>
    <row r="161" spans="1:16" s="59" customFormat="1" ht="15.75" hidden="1" customHeight="1" outlineLevel="1" x14ac:dyDescent="0.25">
      <c r="A161" s="60"/>
      <c r="B161" s="61" t="s">
        <v>27</v>
      </c>
      <c r="C161" s="52"/>
      <c r="D161" s="52"/>
      <c r="E161" s="52"/>
      <c r="F161" s="52"/>
      <c r="G161" s="52"/>
      <c r="H161" s="52"/>
      <c r="I161" s="53"/>
      <c r="J161" s="118">
        <f>IF(C159=0,0,J159/C159)</f>
        <v>2.2499999999999999E-2</v>
      </c>
      <c r="K161" s="54"/>
      <c r="L161" s="118">
        <f>IF(C159=0,0,L159/C159)</f>
        <v>2.2225999999999999E-2</v>
      </c>
      <c r="M161" s="55"/>
      <c r="N161" s="56"/>
      <c r="O161" s="58"/>
      <c r="P161" s="58"/>
    </row>
    <row r="162" spans="1:16" ht="15.75" hidden="1" customHeight="1" outlineLevel="1" x14ac:dyDescent="0.25">
      <c r="B162" s="69" t="s">
        <v>28</v>
      </c>
      <c r="C162" s="70">
        <f>C163</f>
        <v>0</v>
      </c>
      <c r="D162" s="71">
        <f>IF(C162=0,0,$K$8)</f>
        <v>0</v>
      </c>
      <c r="E162" s="72">
        <f>IF(C162=0,0,$K$16)</f>
        <v>0</v>
      </c>
      <c r="F162" s="72">
        <f>C162*(E162/100)</f>
        <v>0</v>
      </c>
      <c r="G162" s="73">
        <f>(F162*D162+C162)*-1</f>
        <v>0</v>
      </c>
      <c r="H162" s="73">
        <f>C162+G162</f>
        <v>0</v>
      </c>
      <c r="I162" s="70"/>
      <c r="J162" s="119">
        <f>H162</f>
        <v>0</v>
      </c>
      <c r="K162" s="74"/>
      <c r="L162" s="119">
        <f>J162</f>
        <v>0</v>
      </c>
      <c r="M162" s="75"/>
      <c r="N162" s="76"/>
      <c r="O162" s="57"/>
      <c r="P162" s="57"/>
    </row>
    <row r="163" spans="1:16" ht="15.75" hidden="1" customHeight="1" outlineLevel="1" x14ac:dyDescent="0.25">
      <c r="B163" s="69" t="s">
        <v>119</v>
      </c>
      <c r="C163" s="70">
        <f>ROUNDDOWN(K$15/50,0)*50</f>
        <v>0</v>
      </c>
      <c r="D163" s="71">
        <f>IF(C163=0,0,D159)</f>
        <v>0</v>
      </c>
      <c r="E163" s="72">
        <f>IF(C163=0,0,E159)</f>
        <v>0</v>
      </c>
      <c r="F163" s="72">
        <f>IF(C163=0,0,(C163*(E163/100)))</f>
        <v>0</v>
      </c>
      <c r="G163" s="77">
        <f>IF(C163=0,0,(F163*D163+C163))</f>
        <v>0</v>
      </c>
      <c r="H163" s="77">
        <f>IF(C163=0,0,G163-C163)</f>
        <v>0</v>
      </c>
      <c r="I163" s="77">
        <f>IF(AND(D163&gt;10,D163&lt;21),0.45,IF(D163&gt;=21,0.4,0.5))*H163</f>
        <v>0</v>
      </c>
      <c r="J163" s="116">
        <f>H163-I163</f>
        <v>0</v>
      </c>
      <c r="K163" s="78">
        <f>J163*$C$11</f>
        <v>0</v>
      </c>
      <c r="L163" s="116">
        <f>IF(C163=0,J163,(J163/J164*L164)+(0.065/100*(C163/J164)*D163)*(J164-L164))</f>
        <v>0</v>
      </c>
      <c r="M163" s="78">
        <f>L163*$K$11</f>
        <v>0</v>
      </c>
      <c r="N163" s="76"/>
      <c r="O163" s="57"/>
      <c r="P163" s="57"/>
    </row>
    <row r="164" spans="1:16" ht="15.75" hidden="1" customHeight="1" outlineLevel="1" collapsed="1" thickBot="1" x14ac:dyDescent="0.3">
      <c r="B164" s="61" t="s">
        <v>26</v>
      </c>
      <c r="C164" s="79"/>
      <c r="D164" s="52"/>
      <c r="E164" s="52"/>
      <c r="F164" s="52"/>
      <c r="G164" s="52"/>
      <c r="H164" s="52"/>
      <c r="I164" s="52"/>
      <c r="J164" s="120">
        <f>C163/50</f>
        <v>0</v>
      </c>
      <c r="K164" s="80"/>
      <c r="L164" s="127">
        <f>FLOOR((J164-($K$12*J164/100)),1)</f>
        <v>0</v>
      </c>
      <c r="M164" s="55"/>
      <c r="N164" s="56"/>
      <c r="O164" s="57"/>
      <c r="P164" s="57"/>
    </row>
    <row r="165" spans="1:16" ht="24" hidden="1" customHeight="1" outlineLevel="1" thickBot="1" x14ac:dyDescent="0.3">
      <c r="B165" s="129" t="s">
        <v>29</v>
      </c>
      <c r="C165" s="129"/>
      <c r="D165" s="129"/>
      <c r="E165" s="129"/>
      <c r="F165" s="129"/>
      <c r="G165" s="134">
        <f>G162+G163</f>
        <v>0</v>
      </c>
      <c r="H165" s="134">
        <f>H162+H163</f>
        <v>0</v>
      </c>
      <c r="I165" s="135">
        <f>I162+I163</f>
        <v>0</v>
      </c>
      <c r="J165" s="121">
        <f>J162+J163</f>
        <v>0</v>
      </c>
      <c r="K165" s="136">
        <f>J165*$C$11</f>
        <v>0</v>
      </c>
      <c r="L165" s="128">
        <f>L162+L163</f>
        <v>0</v>
      </c>
      <c r="M165" s="137">
        <f>L165*$K$11</f>
        <v>0</v>
      </c>
      <c r="N165" s="48">
        <f>J165/J172</f>
        <v>0</v>
      </c>
      <c r="O165" s="57"/>
      <c r="P165" s="57"/>
    </row>
    <row r="166" spans="1:16" ht="15.75" hidden="1" customHeight="1" outlineLevel="1" x14ac:dyDescent="0.25">
      <c r="B166" s="61" t="s">
        <v>30</v>
      </c>
      <c r="C166" s="52"/>
      <c r="D166" s="52"/>
      <c r="E166" s="52"/>
      <c r="F166" s="52"/>
      <c r="G166" s="52"/>
      <c r="H166" s="52"/>
      <c r="I166" s="52"/>
      <c r="J166" s="122">
        <f>IF(C159=0,0,J165/C159)</f>
        <v>0</v>
      </c>
      <c r="K166" s="80"/>
      <c r="L166" s="122">
        <f>IF(C159=0,0,L165/C159)</f>
        <v>0</v>
      </c>
      <c r="M166" s="55"/>
      <c r="N166" s="56"/>
      <c r="O166" s="57"/>
      <c r="P166" s="57"/>
    </row>
    <row r="167" spans="1:16" s="82" customFormat="1" ht="15.75" hidden="1" customHeight="1" outlineLevel="1" x14ac:dyDescent="0.25">
      <c r="A167" s="4"/>
      <c r="B167" s="69" t="s">
        <v>31</v>
      </c>
      <c r="C167" s="70">
        <f>IF(AND($K$18=TRUE,K8&gt;0,K12&gt;0,K13&gt;0,K14&gt;0),(IF(($K$14+$K$15)*3&lt;3000,ROUNDDOWN((($K$14+$K$15)*3)/50,0)*50,3000)),0)</f>
        <v>3000</v>
      </c>
      <c r="D167" s="71">
        <f>IF(C167=0,0,$K$8+$K$17)</f>
        <v>3</v>
      </c>
      <c r="E167" s="72">
        <f>IF(C167=0,0,0.5)</f>
        <v>0.5</v>
      </c>
      <c r="F167" s="72">
        <f>C167*(E167/100)</f>
        <v>15</v>
      </c>
      <c r="G167" s="73">
        <f>(F167*D167+C167)*-1</f>
        <v>-3045</v>
      </c>
      <c r="H167" s="73">
        <f>C167+G167</f>
        <v>-45</v>
      </c>
      <c r="I167" s="70"/>
      <c r="J167" s="119">
        <f>H167</f>
        <v>-45</v>
      </c>
      <c r="K167" s="74"/>
      <c r="L167" s="119">
        <f>J167</f>
        <v>-45</v>
      </c>
      <c r="M167" s="75"/>
      <c r="N167" s="76"/>
      <c r="O167" s="81"/>
      <c r="P167" s="81"/>
    </row>
    <row r="168" spans="1:16" s="82" customFormat="1" ht="15.75" hidden="1" customHeight="1" outlineLevel="1" x14ac:dyDescent="0.25">
      <c r="A168" s="4"/>
      <c r="B168" s="69" t="s">
        <v>32</v>
      </c>
      <c r="C168" s="70">
        <f>C167</f>
        <v>3000</v>
      </c>
      <c r="D168" s="71">
        <f>IF(C168=0,0,D159)</f>
        <v>3</v>
      </c>
      <c r="E168" s="72">
        <f>IF(C168=0,0,E159)</f>
        <v>1.5</v>
      </c>
      <c r="F168" s="72">
        <f>IF(C168=0,0,C168*(E168/100))</f>
        <v>45</v>
      </c>
      <c r="G168" s="70">
        <f>IF(C168=0,0,F168*D168+C168)</f>
        <v>3135</v>
      </c>
      <c r="H168" s="77">
        <f>IF(C168=0,0,G168-C168)</f>
        <v>135</v>
      </c>
      <c r="I168" s="77">
        <f>IF(AND(D168&gt;10,D168&lt;21),0.45,IF(D168&gt;=21,0.4,0.5))*H168</f>
        <v>67.5</v>
      </c>
      <c r="J168" s="116">
        <f>H168-I168</f>
        <v>67.5</v>
      </c>
      <c r="K168" s="78"/>
      <c r="L168" s="116">
        <f>IF(C168=0,J168,(J168/J169*L169)+(0.065/100*(C168/J169)*D168)*(J169-L169))</f>
        <v>66.472499999999997</v>
      </c>
      <c r="M168" s="75"/>
      <c r="N168" s="76"/>
      <c r="O168" s="81"/>
      <c r="P168" s="81"/>
    </row>
    <row r="169" spans="1:16" s="86" customFormat="1" ht="15.75" hidden="1" customHeight="1" outlineLevel="1" collapsed="1" thickBot="1" x14ac:dyDescent="0.3">
      <c r="A169" s="83"/>
      <c r="B169" s="61" t="s">
        <v>26</v>
      </c>
      <c r="C169" s="63"/>
      <c r="D169" s="56"/>
      <c r="E169" s="56"/>
      <c r="F169" s="56"/>
      <c r="G169" s="56"/>
      <c r="H169" s="56"/>
      <c r="I169" s="56"/>
      <c r="J169" s="120">
        <f>C168/50</f>
        <v>60</v>
      </c>
      <c r="K169" s="84"/>
      <c r="L169" s="120">
        <f>FLOOR((J169-($K$12*J169/100)),1)</f>
        <v>59</v>
      </c>
      <c r="M169" s="66"/>
      <c r="N169" s="56"/>
      <c r="O169" s="85"/>
      <c r="P169" s="85"/>
    </row>
    <row r="170" spans="1:16" s="89" customFormat="1" ht="23.25" hidden="1" customHeight="1" outlineLevel="1" thickBot="1" x14ac:dyDescent="0.3">
      <c r="A170" s="87"/>
      <c r="B170" s="129" t="s">
        <v>33</v>
      </c>
      <c r="C170" s="138"/>
      <c r="D170" s="138"/>
      <c r="E170" s="138"/>
      <c r="F170" s="138"/>
      <c r="G170" s="130">
        <f>G168+G167</f>
        <v>90</v>
      </c>
      <c r="H170" s="130">
        <f>H168+H167</f>
        <v>90</v>
      </c>
      <c r="I170" s="131">
        <f>I168</f>
        <v>67.5</v>
      </c>
      <c r="J170" s="123">
        <f>J168+J167</f>
        <v>22.5</v>
      </c>
      <c r="K170" s="132">
        <f>J170*$C$11</f>
        <v>1141.89975</v>
      </c>
      <c r="L170" s="125">
        <f>L168+L167</f>
        <v>21.472499999999997</v>
      </c>
      <c r="M170" s="132">
        <f>L170*$K$11</f>
        <v>1089.7529947499997</v>
      </c>
      <c r="N170" s="48">
        <f>J170/J172</f>
        <v>0.21052631578947367</v>
      </c>
      <c r="O170" s="88"/>
      <c r="P170" s="88"/>
    </row>
    <row r="171" spans="1:16" ht="16.5" hidden="1" customHeight="1" outlineLevel="1" thickBot="1" x14ac:dyDescent="0.3">
      <c r="B171" s="61" t="s">
        <v>34</v>
      </c>
      <c r="C171" s="52"/>
      <c r="D171" s="52"/>
      <c r="E171" s="52"/>
      <c r="F171" s="52"/>
      <c r="G171" s="52"/>
      <c r="H171" s="52"/>
      <c r="I171" s="52"/>
      <c r="J171" s="124">
        <f>IF(C159=0,0,J170/C159)</f>
        <v>6.0000000000000001E-3</v>
      </c>
      <c r="K171" s="80"/>
      <c r="L171" s="124">
        <f>IF(C159=0,0,L170/C159)</f>
        <v>5.7259999999999993E-3</v>
      </c>
      <c r="M171" s="55"/>
      <c r="N171" s="56"/>
      <c r="O171" s="57"/>
      <c r="P171" s="57"/>
    </row>
    <row r="172" spans="1:16" s="92" customFormat="1" ht="28.5" hidden="1" customHeight="1" outlineLevel="1" thickBot="1" x14ac:dyDescent="0.3">
      <c r="A172" s="15"/>
      <c r="B172" s="139" t="s">
        <v>35</v>
      </c>
      <c r="C172" s="140">
        <f>C159+C168-C167+C162-C163</f>
        <v>3750</v>
      </c>
      <c r="D172" s="129"/>
      <c r="E172" s="129"/>
      <c r="F172" s="129"/>
      <c r="G172" s="134">
        <f t="shared" ref="G172:M172" si="12">G159+G170+G165</f>
        <v>4008.75</v>
      </c>
      <c r="H172" s="134">
        <f t="shared" si="12"/>
        <v>258.75</v>
      </c>
      <c r="I172" s="135">
        <f t="shared" si="12"/>
        <v>151.875</v>
      </c>
      <c r="J172" s="121">
        <f t="shared" si="12"/>
        <v>106.875</v>
      </c>
      <c r="K172" s="136">
        <f t="shared" si="12"/>
        <v>5424.0238124999996</v>
      </c>
      <c r="L172" s="128">
        <f>L159+L170+L165</f>
        <v>104.82</v>
      </c>
      <c r="M172" s="137">
        <f t="shared" si="12"/>
        <v>5319.7303019999999</v>
      </c>
      <c r="N172" s="90"/>
      <c r="O172" s="91"/>
      <c r="P172" s="91"/>
    </row>
    <row r="173" spans="1:16" s="82" customFormat="1" ht="15.75" hidden="1" customHeight="1" outlineLevel="1" x14ac:dyDescent="0.25">
      <c r="A173" s="4"/>
      <c r="B173" s="93" t="s">
        <v>36</v>
      </c>
      <c r="C173" s="70"/>
      <c r="D173" s="94"/>
      <c r="E173" s="95"/>
      <c r="F173" s="95"/>
      <c r="G173" s="95"/>
      <c r="H173" s="95"/>
      <c r="I173" s="95"/>
      <c r="J173" s="124">
        <f>IF(C159=0,0,J172/C159)</f>
        <v>2.8500000000000001E-2</v>
      </c>
      <c r="K173" s="96"/>
      <c r="L173" s="124">
        <f>IF(C159=0,0,L172/C159)</f>
        <v>2.7951999999999998E-2</v>
      </c>
      <c r="M173" s="97"/>
      <c r="N173" s="98"/>
      <c r="O173" s="81"/>
      <c r="P173" s="81"/>
    </row>
    <row r="174" spans="1:16" s="82" customFormat="1" ht="15.75" hidden="1" customHeight="1" outlineLevel="1" x14ac:dyDescent="0.25">
      <c r="A174" s="4"/>
      <c r="B174" s="99" t="s">
        <v>37</v>
      </c>
      <c r="C174" s="70"/>
      <c r="D174" s="100"/>
      <c r="E174" s="56"/>
      <c r="F174" s="56"/>
      <c r="G174" s="56"/>
      <c r="H174" s="56"/>
      <c r="I174" s="56"/>
      <c r="J174" s="117">
        <f>J160+J164+J169</f>
        <v>135</v>
      </c>
      <c r="K174" s="84"/>
      <c r="L174" s="154">
        <f>L160+L164+L169</f>
        <v>133</v>
      </c>
      <c r="M174" s="66"/>
      <c r="N174" s="56"/>
      <c r="O174" s="81"/>
      <c r="P174" s="81"/>
    </row>
    <row r="175" spans="1:16" s="29" customFormat="1" ht="15.75" hidden="1" customHeight="1" outlineLevel="1" thickBot="1" x14ac:dyDescent="0.3">
      <c r="A175" s="9"/>
      <c r="B175" s="146"/>
      <c r="C175" s="147"/>
      <c r="D175" s="35"/>
      <c r="G175" s="34"/>
      <c r="O175" s="30"/>
      <c r="P175" s="30"/>
    </row>
    <row r="176" spans="1:16" s="51" customFormat="1" ht="25.5" hidden="1" customHeight="1" outlineLevel="1" thickBot="1" x14ac:dyDescent="0.3">
      <c r="A176" s="15"/>
      <c r="B176" s="129" t="s">
        <v>25</v>
      </c>
      <c r="C176" s="129">
        <f>IF(OR(L8=0,L13=0),0,ROUNDDOWN($L$14/50,0)*50)</f>
        <v>3850</v>
      </c>
      <c r="D176" s="129">
        <f>IF(C176=0,0,$L$8)</f>
        <v>3</v>
      </c>
      <c r="E176" s="130">
        <f>IF(C176=0,0,$L$13)</f>
        <v>1.5</v>
      </c>
      <c r="F176" s="130">
        <f>IF(C176=0,0,(C176*(E176/100)))</f>
        <v>57.75</v>
      </c>
      <c r="G176" s="130">
        <f>IF(C176=0,0,(F176*D176+C176))</f>
        <v>4023.25</v>
      </c>
      <c r="H176" s="130">
        <f>IF(C176=0,0,G176-C176)</f>
        <v>173.25</v>
      </c>
      <c r="I176" s="131">
        <f>IF(AND(D176&gt;10,D176&lt;21),0.45,IF(D176&gt;=21,0.4,0.5))*H176</f>
        <v>86.625</v>
      </c>
      <c r="J176" s="115">
        <f>H176-I176</f>
        <v>86.625</v>
      </c>
      <c r="K176" s="132">
        <f>J176*$C$11</f>
        <v>4396.3140375000003</v>
      </c>
      <c r="L176" s="151">
        <f>IF(OR(C176=0,L12=0),J176,(J176/J177*L177)+(0.065/100*(C176/J177)*D176)*(J177-L177))</f>
        <v>85.597499999999997</v>
      </c>
      <c r="M176" s="133">
        <f>L176*$L$11</f>
        <v>4344.1672822499995</v>
      </c>
      <c r="N176" s="48">
        <f>J176/J189</f>
        <v>0.79381443298969068</v>
      </c>
      <c r="O176" s="49">
        <f>$I$23*0.5</f>
        <v>33.75</v>
      </c>
      <c r="P176" s="50">
        <f>$I$23*0.05</f>
        <v>3.375</v>
      </c>
    </row>
    <row r="177" spans="1:16" s="68" customFormat="1" ht="15" hidden="1" customHeight="1" outlineLevel="1" x14ac:dyDescent="0.25">
      <c r="A177" s="62"/>
      <c r="B177" s="61" t="s">
        <v>26</v>
      </c>
      <c r="C177" s="63"/>
      <c r="D177" s="56"/>
      <c r="E177" s="56"/>
      <c r="F177" s="56"/>
      <c r="G177" s="56"/>
      <c r="H177" s="56"/>
      <c r="I177" s="64"/>
      <c r="J177" s="117">
        <f>C176/50</f>
        <v>77</v>
      </c>
      <c r="K177" s="65"/>
      <c r="L177" s="126">
        <f>FLOOR((J177-($L$12*J177/100)),1)</f>
        <v>76</v>
      </c>
      <c r="M177" s="66"/>
      <c r="N177" s="56"/>
      <c r="O177" s="67"/>
      <c r="P177" s="67"/>
    </row>
    <row r="178" spans="1:16" s="59" customFormat="1" ht="15.75" hidden="1" customHeight="1" outlineLevel="1" x14ac:dyDescent="0.25">
      <c r="A178" s="60"/>
      <c r="B178" s="61" t="s">
        <v>27</v>
      </c>
      <c r="C178" s="52"/>
      <c r="D178" s="52"/>
      <c r="E178" s="52"/>
      <c r="F178" s="52"/>
      <c r="G178" s="52"/>
      <c r="H178" s="52"/>
      <c r="I178" s="53"/>
      <c r="J178" s="118">
        <f>IF(C176=0,0,J176/C176)</f>
        <v>2.2499999999999999E-2</v>
      </c>
      <c r="K178" s="54"/>
      <c r="L178" s="118">
        <f>IF(C176=0,0,L176/C176)</f>
        <v>2.2233116883116882E-2</v>
      </c>
      <c r="M178" s="55"/>
      <c r="N178" s="56"/>
      <c r="O178" s="58"/>
      <c r="P178" s="58"/>
    </row>
    <row r="179" spans="1:16" ht="15.75" hidden="1" customHeight="1" outlineLevel="1" x14ac:dyDescent="0.25">
      <c r="B179" s="69" t="s">
        <v>28</v>
      </c>
      <c r="C179" s="70">
        <f>C180</f>
        <v>0</v>
      </c>
      <c r="D179" s="71">
        <f>IF(C179=0,0,$L$8)</f>
        <v>0</v>
      </c>
      <c r="E179" s="72">
        <f>IF(C179=0,0,$L$16)</f>
        <v>0</v>
      </c>
      <c r="F179" s="72">
        <f>C179*(E179/100)</f>
        <v>0</v>
      </c>
      <c r="G179" s="73">
        <f>(F179*D179+C179)*-1</f>
        <v>0</v>
      </c>
      <c r="H179" s="73">
        <f>C179+G179</f>
        <v>0</v>
      </c>
      <c r="I179" s="70"/>
      <c r="J179" s="119">
        <f>H179</f>
        <v>0</v>
      </c>
      <c r="K179" s="74"/>
      <c r="L179" s="119">
        <f>J179</f>
        <v>0</v>
      </c>
      <c r="M179" s="75"/>
      <c r="N179" s="76"/>
      <c r="O179" s="57"/>
      <c r="P179" s="57"/>
    </row>
    <row r="180" spans="1:16" ht="15.75" hidden="1" customHeight="1" outlineLevel="1" x14ac:dyDescent="0.25">
      <c r="B180" s="69" t="s">
        <v>119</v>
      </c>
      <c r="C180" s="70">
        <f>ROUNDDOWN(L$15/50,0)*50</f>
        <v>0</v>
      </c>
      <c r="D180" s="71">
        <f>IF(C180=0,0,D176)</f>
        <v>0</v>
      </c>
      <c r="E180" s="72">
        <f>IF(C180=0,0,E176)</f>
        <v>0</v>
      </c>
      <c r="F180" s="72">
        <f>IF(C180=0,0,(C180*(E180/100)))</f>
        <v>0</v>
      </c>
      <c r="G180" s="77">
        <f>IF(C180=0,0,(F180*D180+C180))</f>
        <v>0</v>
      </c>
      <c r="H180" s="77">
        <f>IF(C180=0,0,G180-C180)</f>
        <v>0</v>
      </c>
      <c r="I180" s="77">
        <f>IF(AND(D180&gt;10,D180&lt;21),0.45,IF(D180&gt;=21,0.4,0.5))*H180</f>
        <v>0</v>
      </c>
      <c r="J180" s="116">
        <f>H180-I180</f>
        <v>0</v>
      </c>
      <c r="K180" s="78">
        <f>J180*$C$11</f>
        <v>0</v>
      </c>
      <c r="L180" s="116">
        <f>IF(C180=0,J180,(J180/J181*L181)+(0.065/100*(C180/J181)*D180)*(J181-L181))</f>
        <v>0</v>
      </c>
      <c r="M180" s="78">
        <f>L180*$L$11</f>
        <v>0</v>
      </c>
      <c r="N180" s="76"/>
      <c r="O180" s="57"/>
      <c r="P180" s="57"/>
    </row>
    <row r="181" spans="1:16" ht="15.75" hidden="1" customHeight="1" outlineLevel="1" collapsed="1" thickBot="1" x14ac:dyDescent="0.3">
      <c r="B181" s="61" t="s">
        <v>26</v>
      </c>
      <c r="C181" s="79"/>
      <c r="D181" s="52"/>
      <c r="E181" s="52"/>
      <c r="F181" s="52"/>
      <c r="G181" s="52"/>
      <c r="H181" s="52"/>
      <c r="I181" s="52"/>
      <c r="J181" s="120">
        <f>C180/50</f>
        <v>0</v>
      </c>
      <c r="K181" s="80"/>
      <c r="L181" s="127">
        <f>FLOOR((J181-($L$12*J181/100)),1)</f>
        <v>0</v>
      </c>
      <c r="M181" s="55"/>
      <c r="N181" s="56"/>
      <c r="O181" s="57"/>
      <c r="P181" s="57"/>
    </row>
    <row r="182" spans="1:16" ht="24" hidden="1" customHeight="1" outlineLevel="1" thickBot="1" x14ac:dyDescent="0.3">
      <c r="B182" s="129" t="s">
        <v>29</v>
      </c>
      <c r="C182" s="129"/>
      <c r="D182" s="129"/>
      <c r="E182" s="129"/>
      <c r="F182" s="129"/>
      <c r="G182" s="134">
        <f>G179+G180</f>
        <v>0</v>
      </c>
      <c r="H182" s="134">
        <f>H179+H180</f>
        <v>0</v>
      </c>
      <c r="I182" s="135">
        <f>I179+I180</f>
        <v>0</v>
      </c>
      <c r="J182" s="121">
        <f>J179+J180</f>
        <v>0</v>
      </c>
      <c r="K182" s="136">
        <f>J182*$C$11</f>
        <v>0</v>
      </c>
      <c r="L182" s="128">
        <f>L179+L180</f>
        <v>0</v>
      </c>
      <c r="M182" s="137">
        <f>L182*$L$11</f>
        <v>0</v>
      </c>
      <c r="N182" s="48">
        <f>J182/J189</f>
        <v>0</v>
      </c>
      <c r="O182" s="57"/>
      <c r="P182" s="57"/>
    </row>
    <row r="183" spans="1:16" ht="15.75" hidden="1" customHeight="1" outlineLevel="1" x14ac:dyDescent="0.25">
      <c r="B183" s="61" t="s">
        <v>30</v>
      </c>
      <c r="C183" s="52"/>
      <c r="D183" s="52"/>
      <c r="E183" s="52"/>
      <c r="F183" s="52"/>
      <c r="G183" s="52"/>
      <c r="H183" s="52"/>
      <c r="I183" s="52"/>
      <c r="J183" s="122">
        <f>IF(C176=0,0,J182/C176)</f>
        <v>0</v>
      </c>
      <c r="K183" s="80"/>
      <c r="L183" s="122">
        <f>IF(C176=0,0,L182/C176)</f>
        <v>0</v>
      </c>
      <c r="M183" s="55"/>
      <c r="N183" s="56"/>
      <c r="O183" s="57"/>
      <c r="P183" s="57"/>
    </row>
    <row r="184" spans="1:16" s="82" customFormat="1" ht="15.75" hidden="1" customHeight="1" outlineLevel="1" x14ac:dyDescent="0.25">
      <c r="A184" s="4"/>
      <c r="B184" s="69" t="s">
        <v>31</v>
      </c>
      <c r="C184" s="70">
        <f>IF(AND($L$18=TRUE,L8&gt;0,L12&gt;0,L13&gt;0,L14&gt;0),(IF(($L$14+$L$15)*3&lt;3000,ROUNDDOWN((($L$14+$L$15)*3)/50,0)*50,3000)),0)</f>
        <v>3000</v>
      </c>
      <c r="D184" s="71">
        <f>IF(C184=0,0,$L$8+$L$17)</f>
        <v>3</v>
      </c>
      <c r="E184" s="72">
        <f>IF(C184=0,0,0.5)</f>
        <v>0.5</v>
      </c>
      <c r="F184" s="72">
        <f>C184*(E184/100)</f>
        <v>15</v>
      </c>
      <c r="G184" s="73">
        <f>(F184*D184+C184)*-1</f>
        <v>-3045</v>
      </c>
      <c r="H184" s="73">
        <f>C184+G184</f>
        <v>-45</v>
      </c>
      <c r="I184" s="70"/>
      <c r="J184" s="119">
        <f>H184</f>
        <v>-45</v>
      </c>
      <c r="K184" s="74"/>
      <c r="L184" s="119">
        <f>J184</f>
        <v>-45</v>
      </c>
      <c r="M184" s="75"/>
      <c r="N184" s="76"/>
      <c r="O184" s="81"/>
      <c r="P184" s="81"/>
    </row>
    <row r="185" spans="1:16" s="82" customFormat="1" ht="15.75" hidden="1" customHeight="1" outlineLevel="1" x14ac:dyDescent="0.25">
      <c r="A185" s="4"/>
      <c r="B185" s="69" t="s">
        <v>32</v>
      </c>
      <c r="C185" s="70">
        <f>C184</f>
        <v>3000</v>
      </c>
      <c r="D185" s="71">
        <f>IF(C185=0,0,D176)</f>
        <v>3</v>
      </c>
      <c r="E185" s="72">
        <f>IF(C185=0,0,E176)</f>
        <v>1.5</v>
      </c>
      <c r="F185" s="72">
        <f>IF(C185=0,0,C185*(E185/100))</f>
        <v>45</v>
      </c>
      <c r="G185" s="70">
        <f>IF(C185=0,0,F185*D185+C185)</f>
        <v>3135</v>
      </c>
      <c r="H185" s="77">
        <f>IF(C185=0,0,G185-C185)</f>
        <v>135</v>
      </c>
      <c r="I185" s="77">
        <f>IF(AND(D185&gt;10,D185&lt;21),0.45,IF(D185&gt;=21,0.4,0.5))*H185</f>
        <v>67.5</v>
      </c>
      <c r="J185" s="116">
        <f>H185-I185</f>
        <v>67.5</v>
      </c>
      <c r="K185" s="78"/>
      <c r="L185" s="116">
        <f>IF(C185=0,J185,(J185/J186*L186)+(0.065/100*(C185/J186)*D185)*(J186-L186))</f>
        <v>66.472499999999997</v>
      </c>
      <c r="M185" s="75"/>
      <c r="N185" s="76"/>
      <c r="O185" s="81"/>
      <c r="P185" s="81"/>
    </row>
    <row r="186" spans="1:16" s="86" customFormat="1" ht="15.75" hidden="1" customHeight="1" outlineLevel="1" collapsed="1" thickBot="1" x14ac:dyDescent="0.3">
      <c r="A186" s="83"/>
      <c r="B186" s="61" t="s">
        <v>26</v>
      </c>
      <c r="C186" s="63"/>
      <c r="D186" s="56"/>
      <c r="E186" s="56"/>
      <c r="F186" s="56"/>
      <c r="G186" s="56"/>
      <c r="H186" s="56"/>
      <c r="I186" s="56"/>
      <c r="J186" s="120">
        <f>C185/50</f>
        <v>60</v>
      </c>
      <c r="K186" s="84"/>
      <c r="L186" s="120">
        <f>FLOOR((J186-($L$12*J186/100)),1)</f>
        <v>59</v>
      </c>
      <c r="M186" s="66"/>
      <c r="N186" s="56"/>
      <c r="O186" s="85"/>
      <c r="P186" s="85"/>
    </row>
    <row r="187" spans="1:16" s="89" customFormat="1" ht="23.25" hidden="1" customHeight="1" outlineLevel="1" thickBot="1" x14ac:dyDescent="0.3">
      <c r="A187" s="87"/>
      <c r="B187" s="129" t="s">
        <v>33</v>
      </c>
      <c r="C187" s="138"/>
      <c r="D187" s="138"/>
      <c r="E187" s="138"/>
      <c r="F187" s="138"/>
      <c r="G187" s="130">
        <f>G185+G184</f>
        <v>90</v>
      </c>
      <c r="H187" s="130">
        <f>H185+H184</f>
        <v>90</v>
      </c>
      <c r="I187" s="131">
        <f>I185</f>
        <v>67.5</v>
      </c>
      <c r="J187" s="123">
        <f>J185+J184</f>
        <v>22.5</v>
      </c>
      <c r="K187" s="132">
        <f>J187*$C$11</f>
        <v>1141.89975</v>
      </c>
      <c r="L187" s="125">
        <f>L185+L184</f>
        <v>21.472499999999997</v>
      </c>
      <c r="M187" s="132">
        <f>L187*$L$11</f>
        <v>1089.7529947499997</v>
      </c>
      <c r="N187" s="48">
        <f>J187/J189</f>
        <v>0.20618556701030927</v>
      </c>
      <c r="O187" s="88"/>
      <c r="P187" s="88"/>
    </row>
    <row r="188" spans="1:16" ht="16.5" hidden="1" customHeight="1" outlineLevel="1" thickBot="1" x14ac:dyDescent="0.3">
      <c r="B188" s="61" t="s">
        <v>34</v>
      </c>
      <c r="C188" s="52"/>
      <c r="D188" s="52"/>
      <c r="E188" s="52"/>
      <c r="F188" s="52"/>
      <c r="G188" s="52"/>
      <c r="H188" s="52"/>
      <c r="I188" s="52"/>
      <c r="J188" s="124">
        <f>IF(C176=0,0,J187/C176)</f>
        <v>5.8441558441558444E-3</v>
      </c>
      <c r="K188" s="80"/>
      <c r="L188" s="124">
        <f>IF(C176=0,0,L187/C176)</f>
        <v>5.5772727272727267E-3</v>
      </c>
      <c r="M188" s="55"/>
      <c r="N188" s="56"/>
      <c r="O188" s="57"/>
      <c r="P188" s="57"/>
    </row>
    <row r="189" spans="1:16" s="92" customFormat="1" ht="28.5" hidden="1" customHeight="1" outlineLevel="1" thickBot="1" x14ac:dyDescent="0.3">
      <c r="A189" s="15"/>
      <c r="B189" s="139" t="s">
        <v>35</v>
      </c>
      <c r="C189" s="140">
        <f>C176+C185-C184+C179-C180</f>
        <v>3850</v>
      </c>
      <c r="D189" s="129"/>
      <c r="E189" s="129"/>
      <c r="F189" s="129"/>
      <c r="G189" s="134">
        <f t="shared" ref="G189:M189" si="13">G176+G187+G182</f>
        <v>4113.25</v>
      </c>
      <c r="H189" s="134">
        <f t="shared" si="13"/>
        <v>263.25</v>
      </c>
      <c r="I189" s="135">
        <f t="shared" si="13"/>
        <v>154.125</v>
      </c>
      <c r="J189" s="121">
        <f t="shared" si="13"/>
        <v>109.125</v>
      </c>
      <c r="K189" s="136">
        <f t="shared" si="13"/>
        <v>5538.2137875000008</v>
      </c>
      <c r="L189" s="128">
        <f>L176+L187+L182</f>
        <v>107.07</v>
      </c>
      <c r="M189" s="137">
        <f t="shared" si="13"/>
        <v>5433.9202769999993</v>
      </c>
      <c r="N189" s="90"/>
      <c r="O189" s="91"/>
      <c r="P189" s="91"/>
    </row>
    <row r="190" spans="1:16" s="82" customFormat="1" ht="15.75" hidden="1" customHeight="1" outlineLevel="1" x14ac:dyDescent="0.25">
      <c r="A190" s="4"/>
      <c r="B190" s="93" t="s">
        <v>36</v>
      </c>
      <c r="C190" s="70"/>
      <c r="D190" s="94"/>
      <c r="E190" s="95"/>
      <c r="F190" s="95"/>
      <c r="G190" s="95"/>
      <c r="H190" s="95"/>
      <c r="I190" s="95"/>
      <c r="J190" s="124">
        <f>IF(C176=0,0,J189/C176)</f>
        <v>2.8344155844155845E-2</v>
      </c>
      <c r="K190" s="96"/>
      <c r="L190" s="124">
        <f>IF(C176=0,0,L189/C176)</f>
        <v>2.7810389610389608E-2</v>
      </c>
      <c r="M190" s="97"/>
      <c r="N190" s="98"/>
      <c r="O190" s="81"/>
      <c r="P190" s="81"/>
    </row>
    <row r="191" spans="1:16" s="82" customFormat="1" ht="15.75" hidden="1" customHeight="1" outlineLevel="1" x14ac:dyDescent="0.25">
      <c r="A191" s="4"/>
      <c r="B191" s="99" t="s">
        <v>37</v>
      </c>
      <c r="C191" s="70"/>
      <c r="D191" s="100"/>
      <c r="E191" s="56"/>
      <c r="F191" s="56"/>
      <c r="G191" s="56"/>
      <c r="H191" s="56"/>
      <c r="I191" s="56"/>
      <c r="J191" s="117">
        <f>J177+J181+J186</f>
        <v>137</v>
      </c>
      <c r="K191" s="84"/>
      <c r="L191" s="154">
        <f>L177+L181+L186</f>
        <v>135</v>
      </c>
      <c r="M191" s="66"/>
      <c r="N191" s="56"/>
      <c r="O191" s="81"/>
      <c r="P191" s="81"/>
    </row>
    <row r="192" spans="1:16" s="29" customFormat="1" ht="15" hidden="1" customHeight="1" outlineLevel="1" x14ac:dyDescent="0.25">
      <c r="A192" s="9"/>
      <c r="B192" s="146"/>
      <c r="C192" s="147"/>
      <c r="D192" s="35"/>
      <c r="G192" s="34"/>
      <c r="O192" s="30"/>
      <c r="P192" s="30"/>
    </row>
    <row r="193" spans="1:16" s="103" customFormat="1" ht="18.75" x14ac:dyDescent="0.3">
      <c r="A193" s="101"/>
      <c r="B193" s="141" t="s">
        <v>111</v>
      </c>
      <c r="C193" s="152">
        <f>C23</f>
        <v>3000</v>
      </c>
      <c r="D193" s="141"/>
      <c r="E193" s="141"/>
      <c r="F193" s="141"/>
      <c r="G193" s="141"/>
      <c r="H193" s="145">
        <f t="shared" ref="H193:M193" si="14">SUM(H36,H53,H70,H87,H104,H121,H138,H155,H172,H189)</f>
        <v>2417.25</v>
      </c>
      <c r="I193" s="145">
        <f t="shared" si="14"/>
        <v>1441.125</v>
      </c>
      <c r="J193" s="145">
        <f t="shared" si="14"/>
        <v>976.125</v>
      </c>
      <c r="K193" s="145">
        <f t="shared" si="14"/>
        <v>49539.417487500003</v>
      </c>
      <c r="L193" s="145">
        <f t="shared" si="14"/>
        <v>945.29999999999973</v>
      </c>
      <c r="M193" s="145">
        <f t="shared" si="14"/>
        <v>47975.01483</v>
      </c>
      <c r="N193" s="141"/>
      <c r="O193" s="102"/>
      <c r="P193" s="102"/>
    </row>
    <row r="194" spans="1:16" x14ac:dyDescent="0.25">
      <c r="M194" s="153">
        <f>M193/K193</f>
        <v>0.96842105263157885</v>
      </c>
    </row>
  </sheetData>
  <mergeCells count="1">
    <mergeCell ref="N21:P21"/>
  </mergeCells>
  <conditionalFormatting sqref="B31:J31 N31:XFD31 N23:XFD23 B22:XFD22 T5:U5 Q5:R5 Q21:XFD21 B38 O38:XFD38 A26:A27 O26:XFD27 A30:XFD30 A25:XFD25 B36:XFD37 A32:XFD32 A24:B24 D24:XFD24 A28:B29 D28:XFD28 A33:B33 D33:XFD33 D38:J38 N29:XFD29 A34:XFD35 A21:N21 A19 C19 C8:C10 B8 D7 B23:L23 M8 A11:C18 D8:L17 D31:E32 M11:M17 P11:XFD19 D18:M19 A39:XFD1048576 A20:XFD20">
    <cfRule type="cellIs" dxfId="89" priority="1044" operator="equal">
      <formula>0</formula>
    </cfRule>
  </conditionalFormatting>
  <conditionalFormatting sqref="K38:N38">
    <cfRule type="cellIs" dxfId="88" priority="1042" operator="equal">
      <formula>0</formula>
    </cfRule>
  </conditionalFormatting>
  <conditionalFormatting sqref="C29:M29">
    <cfRule type="cellIs" dxfId="87" priority="1041" operator="equal">
      <formula>0</formula>
    </cfRule>
  </conditionalFormatting>
  <conditionalFormatting sqref="B26:E26 N26">
    <cfRule type="cellIs" dxfId="86" priority="1040" operator="equal">
      <formula>0</formula>
    </cfRule>
  </conditionalFormatting>
  <conditionalFormatting sqref="F26">
    <cfRule type="cellIs" dxfId="85" priority="1039" operator="equal">
      <formula>0</formula>
    </cfRule>
  </conditionalFormatting>
  <conditionalFormatting sqref="G26:J26">
    <cfRule type="cellIs" dxfId="84" priority="1038" operator="equal">
      <formula>0</formula>
    </cfRule>
  </conditionalFormatting>
  <conditionalFormatting sqref="B27:N27">
    <cfRule type="cellIs" dxfId="83" priority="1035" operator="equal">
      <formula>0</formula>
    </cfRule>
  </conditionalFormatting>
  <conditionalFormatting sqref="A19 C19 A7:B7 A3:XFD5 A6:E6 G6:XFD6 Q1:XFD2 D7:K16 N1:N2 A1:L2 A8:C18 N7:O7 L8:M16 P7:XFD19 D17:M19 A20:XFD1048576">
    <cfRule type="containsErrors" dxfId="82" priority="951">
      <formula>ISERROR(A1)</formula>
    </cfRule>
  </conditionalFormatting>
  <conditionalFormatting sqref="N3:N6 N20:N1048576">
    <cfRule type="cellIs" dxfId="81" priority="950" operator="lessThan">
      <formula>0</formula>
    </cfRule>
  </conditionalFormatting>
  <conditionalFormatting sqref="C7">
    <cfRule type="cellIs" dxfId="80" priority="949" operator="equal">
      <formula>0</formula>
    </cfRule>
  </conditionalFormatting>
  <conditionalFormatting sqref="C7">
    <cfRule type="containsErrors" dxfId="79" priority="948">
      <formula>ISERROR(C7)</formula>
    </cfRule>
  </conditionalFormatting>
  <conditionalFormatting sqref="K55:N55">
    <cfRule type="cellIs" dxfId="78" priority="79" operator="equal">
      <formula>0</formula>
    </cfRule>
  </conditionalFormatting>
  <conditionalFormatting sqref="C46:M46">
    <cfRule type="cellIs" dxfId="77" priority="78" operator="equal">
      <formula>0</formula>
    </cfRule>
  </conditionalFormatting>
  <conditionalFormatting sqref="B43:E43 N43">
    <cfRule type="cellIs" dxfId="76" priority="77" operator="equal">
      <formula>0</formula>
    </cfRule>
  </conditionalFormatting>
  <conditionalFormatting sqref="F43">
    <cfRule type="cellIs" dxfId="75" priority="76" operator="equal">
      <formula>0</formula>
    </cfRule>
  </conditionalFormatting>
  <conditionalFormatting sqref="G43:J43">
    <cfRule type="cellIs" dxfId="74" priority="75" operator="equal">
      <formula>0</formula>
    </cfRule>
  </conditionalFormatting>
  <conditionalFormatting sqref="B44:N44">
    <cfRule type="cellIs" dxfId="73" priority="74" operator="equal">
      <formula>0</formula>
    </cfRule>
  </conditionalFormatting>
  <conditionalFormatting sqref="K72:N72">
    <cfRule type="cellIs" dxfId="72" priority="73" operator="equal">
      <formula>0</formula>
    </cfRule>
  </conditionalFormatting>
  <conditionalFormatting sqref="C63:M63">
    <cfRule type="cellIs" dxfId="71" priority="72" operator="equal">
      <formula>0</formula>
    </cfRule>
  </conditionalFormatting>
  <conditionalFormatting sqref="B60:E60 N60">
    <cfRule type="cellIs" dxfId="70" priority="71" operator="equal">
      <formula>0</formula>
    </cfRule>
  </conditionalFormatting>
  <conditionalFormatting sqref="F60">
    <cfRule type="cellIs" dxfId="69" priority="70" operator="equal">
      <formula>0</formula>
    </cfRule>
  </conditionalFormatting>
  <conditionalFormatting sqref="G60:J60">
    <cfRule type="cellIs" dxfId="68" priority="69" operator="equal">
      <formula>0</formula>
    </cfRule>
  </conditionalFormatting>
  <conditionalFormatting sqref="B61:N61">
    <cfRule type="cellIs" dxfId="67" priority="68" operator="equal">
      <formula>0</formula>
    </cfRule>
  </conditionalFormatting>
  <conditionalFormatting sqref="K89:N89">
    <cfRule type="cellIs" dxfId="66" priority="67" operator="equal">
      <formula>0</formula>
    </cfRule>
  </conditionalFormatting>
  <conditionalFormatting sqref="C80:M80">
    <cfRule type="cellIs" dxfId="65" priority="66" operator="equal">
      <formula>0</formula>
    </cfRule>
  </conditionalFormatting>
  <conditionalFormatting sqref="B77:E77 N77">
    <cfRule type="cellIs" dxfId="64" priority="65" operator="equal">
      <formula>0</formula>
    </cfRule>
  </conditionalFormatting>
  <conditionalFormatting sqref="F77">
    <cfRule type="cellIs" dxfId="63" priority="64" operator="equal">
      <formula>0</formula>
    </cfRule>
  </conditionalFormatting>
  <conditionalFormatting sqref="G77:J77">
    <cfRule type="cellIs" dxfId="62" priority="63" operator="equal">
      <formula>0</formula>
    </cfRule>
  </conditionalFormatting>
  <conditionalFormatting sqref="B78:N78">
    <cfRule type="cellIs" dxfId="61" priority="62" operator="equal">
      <formula>0</formula>
    </cfRule>
  </conditionalFormatting>
  <conditionalFormatting sqref="K106:N106">
    <cfRule type="cellIs" dxfId="60" priority="61" operator="equal">
      <formula>0</formula>
    </cfRule>
  </conditionalFormatting>
  <conditionalFormatting sqref="C97:M97">
    <cfRule type="cellIs" dxfId="59" priority="60" operator="equal">
      <formula>0</formula>
    </cfRule>
  </conditionalFormatting>
  <conditionalFormatting sqref="B94:E94 N94">
    <cfRule type="cellIs" dxfId="58" priority="59" operator="equal">
      <formula>0</formula>
    </cfRule>
  </conditionalFormatting>
  <conditionalFormatting sqref="F94">
    <cfRule type="cellIs" dxfId="57" priority="58" operator="equal">
      <formula>0</formula>
    </cfRule>
  </conditionalFormatting>
  <conditionalFormatting sqref="G94:J94">
    <cfRule type="cellIs" dxfId="56" priority="57" operator="equal">
      <formula>0</formula>
    </cfRule>
  </conditionalFormatting>
  <conditionalFormatting sqref="B95:N95">
    <cfRule type="cellIs" dxfId="55" priority="56" operator="equal">
      <formula>0</formula>
    </cfRule>
  </conditionalFormatting>
  <conditionalFormatting sqref="K123:N192">
    <cfRule type="cellIs" dxfId="54" priority="55" operator="equal">
      <formula>0</formula>
    </cfRule>
  </conditionalFormatting>
  <conditionalFormatting sqref="C114:M114">
    <cfRule type="cellIs" dxfId="53" priority="54" operator="equal">
      <formula>0</formula>
    </cfRule>
  </conditionalFormatting>
  <conditionalFormatting sqref="B111:E111 N111">
    <cfRule type="cellIs" dxfId="52" priority="53" operator="equal">
      <formula>0</formula>
    </cfRule>
  </conditionalFormatting>
  <conditionalFormatting sqref="F111">
    <cfRule type="cellIs" dxfId="51" priority="52" operator="equal">
      <formula>0</formula>
    </cfRule>
  </conditionalFormatting>
  <conditionalFormatting sqref="G111:J111">
    <cfRule type="cellIs" dxfId="50" priority="51" operator="equal">
      <formula>0</formula>
    </cfRule>
  </conditionalFormatting>
  <conditionalFormatting sqref="B112:N112">
    <cfRule type="cellIs" dxfId="49" priority="50" operator="equal">
      <formula>0</formula>
    </cfRule>
  </conditionalFormatting>
  <conditionalFormatting sqref="K140:N140">
    <cfRule type="cellIs" dxfId="48" priority="49" operator="equal">
      <formula>0</formula>
    </cfRule>
  </conditionalFormatting>
  <conditionalFormatting sqref="C131:M131">
    <cfRule type="cellIs" dxfId="47" priority="48" operator="equal">
      <formula>0</formula>
    </cfRule>
  </conditionalFormatting>
  <conditionalFormatting sqref="B128:E128 N128">
    <cfRule type="cellIs" dxfId="46" priority="47" operator="equal">
      <formula>0</formula>
    </cfRule>
  </conditionalFormatting>
  <conditionalFormatting sqref="F128">
    <cfRule type="cellIs" dxfId="45" priority="46" operator="equal">
      <formula>0</formula>
    </cfRule>
  </conditionalFormatting>
  <conditionalFormatting sqref="G128:J128">
    <cfRule type="cellIs" dxfId="44" priority="45" operator="equal">
      <formula>0</formula>
    </cfRule>
  </conditionalFormatting>
  <conditionalFormatting sqref="B129:N129">
    <cfRule type="cellIs" dxfId="43" priority="44" operator="equal">
      <formula>0</formula>
    </cfRule>
  </conditionalFormatting>
  <conditionalFormatting sqref="K157:N157">
    <cfRule type="cellIs" dxfId="42" priority="43" operator="equal">
      <formula>0</formula>
    </cfRule>
  </conditionalFormatting>
  <conditionalFormatting sqref="C148:M148">
    <cfRule type="cellIs" dxfId="41" priority="42" operator="equal">
      <formula>0</formula>
    </cfRule>
  </conditionalFormatting>
  <conditionalFormatting sqref="B145:E145 N145">
    <cfRule type="cellIs" dxfId="40" priority="41" operator="equal">
      <formula>0</formula>
    </cfRule>
  </conditionalFormatting>
  <conditionalFormatting sqref="F145">
    <cfRule type="cellIs" dxfId="39" priority="40" operator="equal">
      <formula>0</formula>
    </cfRule>
  </conditionalFormatting>
  <conditionalFormatting sqref="G145:J145">
    <cfRule type="cellIs" dxfId="38" priority="39" operator="equal">
      <formula>0</formula>
    </cfRule>
  </conditionalFormatting>
  <conditionalFormatting sqref="B146:N146">
    <cfRule type="cellIs" dxfId="37" priority="38" operator="equal">
      <formula>0</formula>
    </cfRule>
  </conditionalFormatting>
  <conditionalFormatting sqref="K174:N174">
    <cfRule type="cellIs" dxfId="36" priority="37" operator="equal">
      <formula>0</formula>
    </cfRule>
  </conditionalFormatting>
  <conditionalFormatting sqref="C165:M165">
    <cfRule type="cellIs" dxfId="35" priority="36" operator="equal">
      <formula>0</formula>
    </cfRule>
  </conditionalFormatting>
  <conditionalFormatting sqref="B162:E162 N162">
    <cfRule type="cellIs" dxfId="34" priority="35" operator="equal">
      <formula>0</formula>
    </cfRule>
  </conditionalFormatting>
  <conditionalFormatting sqref="F162">
    <cfRule type="cellIs" dxfId="33" priority="34" operator="equal">
      <formula>0</formula>
    </cfRule>
  </conditionalFormatting>
  <conditionalFormatting sqref="G162:J162">
    <cfRule type="cellIs" dxfId="32" priority="33" operator="equal">
      <formula>0</formula>
    </cfRule>
  </conditionalFormatting>
  <conditionalFormatting sqref="B163:N163">
    <cfRule type="cellIs" dxfId="31" priority="32" operator="equal">
      <formula>0</formula>
    </cfRule>
  </conditionalFormatting>
  <conditionalFormatting sqref="K191:N191">
    <cfRule type="cellIs" dxfId="30" priority="31" operator="equal">
      <formula>0</formula>
    </cfRule>
  </conditionalFormatting>
  <conditionalFormatting sqref="C182:M182">
    <cfRule type="cellIs" dxfId="29" priority="30" operator="equal">
      <formula>0</formula>
    </cfRule>
  </conditionalFormatting>
  <conditionalFormatting sqref="B179:E179 N179">
    <cfRule type="cellIs" dxfId="28" priority="29" operator="equal">
      <formula>0</formula>
    </cfRule>
  </conditionalFormatting>
  <conditionalFormatting sqref="F179">
    <cfRule type="cellIs" dxfId="27" priority="28" operator="equal">
      <formula>0</formula>
    </cfRule>
  </conditionalFormatting>
  <conditionalFormatting sqref="G179:J179">
    <cfRule type="cellIs" dxfId="26" priority="27" operator="equal">
      <formula>0</formula>
    </cfRule>
  </conditionalFormatting>
  <conditionalFormatting sqref="B180:N180">
    <cfRule type="cellIs" dxfId="25" priority="26" operator="equal">
      <formula>0</formula>
    </cfRule>
  </conditionalFormatting>
  <conditionalFormatting sqref="B44">
    <cfRule type="cellIs" dxfId="24" priority="25" operator="equal">
      <formula>0</formula>
    </cfRule>
  </conditionalFormatting>
  <conditionalFormatting sqref="B61">
    <cfRule type="cellIs" dxfId="23" priority="24" operator="equal">
      <formula>0</formula>
    </cfRule>
  </conditionalFormatting>
  <conditionalFormatting sqref="B95">
    <cfRule type="cellIs" dxfId="22" priority="23" operator="equal">
      <formula>0</formula>
    </cfRule>
  </conditionalFormatting>
  <conditionalFormatting sqref="B112">
    <cfRule type="cellIs" dxfId="21" priority="22" operator="equal">
      <formula>0</formula>
    </cfRule>
  </conditionalFormatting>
  <conditionalFormatting sqref="B129">
    <cfRule type="cellIs" dxfId="20" priority="21" operator="equal">
      <formula>0</formula>
    </cfRule>
  </conditionalFormatting>
  <conditionalFormatting sqref="B146">
    <cfRule type="cellIs" dxfId="19" priority="20" operator="equal">
      <formula>0</formula>
    </cfRule>
  </conditionalFormatting>
  <conditionalFormatting sqref="B163">
    <cfRule type="cellIs" dxfId="18" priority="19" operator="equal">
      <formula>0</formula>
    </cfRule>
  </conditionalFormatting>
  <conditionalFormatting sqref="B180">
    <cfRule type="cellIs" dxfId="17" priority="18" operator="equal">
      <formula>0</formula>
    </cfRule>
  </conditionalFormatting>
  <conditionalFormatting sqref="D26:E27">
    <cfRule type="cellIs" dxfId="16" priority="17" operator="equal">
      <formula>0</formula>
    </cfRule>
  </conditionalFormatting>
  <conditionalFormatting sqref="D61">
    <cfRule type="cellIs" dxfId="15" priority="16" operator="equal">
      <formula>0</formula>
    </cfRule>
  </conditionalFormatting>
  <conditionalFormatting sqref="E60">
    <cfRule type="cellIs" dxfId="14" priority="15" operator="equal">
      <formula>0</formula>
    </cfRule>
  </conditionalFormatting>
  <conditionalFormatting sqref="E77">
    <cfRule type="cellIs" dxfId="13" priority="14" operator="equal">
      <formula>0</formula>
    </cfRule>
  </conditionalFormatting>
  <conditionalFormatting sqref="D78">
    <cfRule type="cellIs" dxfId="12" priority="13" operator="equal">
      <formula>0</formula>
    </cfRule>
  </conditionalFormatting>
  <conditionalFormatting sqref="E94">
    <cfRule type="cellIs" dxfId="11" priority="12" operator="equal">
      <formula>0</formula>
    </cfRule>
  </conditionalFormatting>
  <conditionalFormatting sqref="D95">
    <cfRule type="cellIs" dxfId="10" priority="11" operator="equal">
      <formula>0</formula>
    </cfRule>
  </conditionalFormatting>
  <conditionalFormatting sqref="D112">
    <cfRule type="cellIs" dxfId="9" priority="10" operator="equal">
      <formula>0</formula>
    </cfRule>
  </conditionalFormatting>
  <conditionalFormatting sqref="E111">
    <cfRule type="cellIs" dxfId="8" priority="9" operator="equal">
      <formula>0</formula>
    </cfRule>
  </conditionalFormatting>
  <conditionalFormatting sqref="D129">
    <cfRule type="cellIs" dxfId="7" priority="8" operator="equal">
      <formula>0</formula>
    </cfRule>
  </conditionalFormatting>
  <conditionalFormatting sqref="E128">
    <cfRule type="cellIs" dxfId="6" priority="7" operator="equal">
      <formula>0</formula>
    </cfRule>
  </conditionalFormatting>
  <conditionalFormatting sqref="D146">
    <cfRule type="cellIs" dxfId="5" priority="6" operator="equal">
      <formula>0</formula>
    </cfRule>
  </conditionalFormatting>
  <conditionalFormatting sqref="E145">
    <cfRule type="cellIs" dxfId="4" priority="5" operator="equal">
      <formula>0</formula>
    </cfRule>
  </conditionalFormatting>
  <conditionalFormatting sqref="D163">
    <cfRule type="cellIs" dxfId="3" priority="4" operator="equal">
      <formula>0</formula>
    </cfRule>
  </conditionalFormatting>
  <conditionalFormatting sqref="E162">
    <cfRule type="cellIs" dxfId="2" priority="3" operator="equal">
      <formula>0</formula>
    </cfRule>
  </conditionalFormatting>
  <conditionalFormatting sqref="E179">
    <cfRule type="cellIs" dxfId="1" priority="2" operator="equal">
      <formula>0</formula>
    </cfRule>
  </conditionalFormatting>
  <conditionalFormatting sqref="D180">
    <cfRule type="cellIs" dxfId="0" priority="1" operator="equal">
      <formula>0</formula>
    </cfRule>
  </conditionalFormatting>
  <dataValidations xWindow="412" yWindow="347" count="3">
    <dataValidation type="decimal" errorStyle="information" operator="lessThan" allowBlank="1" showInputMessage="1" showErrorMessage="1" errorTitle="Стратегия убыточна" error="При текущих условиях стратегии, результатпо займу &quot;Гарант&quot; не выгоден. Попробуйте изменить условия." prompt="Введите % займа в диапазоне 0,5 - 3,0" sqref="C16">
      <formula1>0.9</formula1>
    </dataValidation>
    <dataValidation allowBlank="1" showInputMessage="1" showErrorMessage="1" promptTitle="Ограничение суммы СК" prompt="Для корректного расчета вводить сумму не более 10000" sqref="C14"/>
    <dataValidation allowBlank="1" showInputMessage="1" showErrorMessage="1" promptTitle="Ограничение по срокам" prompt="По условиям сервиса срок вклада не более 30 дней" sqref="C8"/>
  </dataValidations>
  <pageMargins left="0.23622047244094491" right="0.23622047244094491" top="0.31" bottom="0.3" header="0.22" footer="0.16"/>
  <pageSetup paperSize="9" scale="76" fitToHeight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Использовать ЗК">
                <anchor moveWithCells="1">
                  <from>
                    <xdr:col>2</xdr:col>
                    <xdr:colOff>257175</xdr:colOff>
                    <xdr:row>18</xdr:row>
                    <xdr:rowOff>38100</xdr:rowOff>
                  </from>
                  <to>
                    <xdr:col>2</xdr:col>
                    <xdr:colOff>561975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Использовать _x000a_Кредит &quot;Арбитраж&quot;">
                <anchor moveWithCells="1">
                  <from>
                    <xdr:col>2</xdr:col>
                    <xdr:colOff>257175</xdr:colOff>
                    <xdr:row>17</xdr:row>
                    <xdr:rowOff>19050</xdr:rowOff>
                  </from>
                  <to>
                    <xdr:col>2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Использовать ЗК">
                <anchor moveWithCells="1">
                  <from>
                    <xdr:col>3</xdr:col>
                    <xdr:colOff>180975</xdr:colOff>
                    <xdr:row>18</xdr:row>
                    <xdr:rowOff>19050</xdr:rowOff>
                  </from>
                  <to>
                    <xdr:col>3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Использовать _x000a_Кредит &quot;Арбитраж&quot;">
                <anchor moveWithCells="1">
                  <from>
                    <xdr:col>3</xdr:col>
                    <xdr:colOff>180975</xdr:colOff>
                    <xdr:row>17</xdr:row>
                    <xdr:rowOff>28575</xdr:rowOff>
                  </from>
                  <to>
                    <xdr:col>3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Использовать ЗК">
                <anchor moveWithCells="1">
                  <from>
                    <xdr:col>4</xdr:col>
                    <xdr:colOff>180975</xdr:colOff>
                    <xdr:row>18</xdr:row>
                    <xdr:rowOff>9525</xdr:rowOff>
                  </from>
                  <to>
                    <xdr:col>4</xdr:col>
                    <xdr:colOff>581025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Использовать _x000a_Кредит &quot;Арбитраж&quot;">
                <anchor moveWithCells="1">
                  <from>
                    <xdr:col>4</xdr:col>
                    <xdr:colOff>180975</xdr:colOff>
                    <xdr:row>17</xdr:row>
                    <xdr:rowOff>19050</xdr:rowOff>
                  </from>
                  <to>
                    <xdr:col>4</xdr:col>
                    <xdr:colOff>609600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Использовать ЗК">
                <anchor moveWithCells="1">
                  <from>
                    <xdr:col>5</xdr:col>
                    <xdr:colOff>304800</xdr:colOff>
                    <xdr:row>18</xdr:row>
                    <xdr:rowOff>19050</xdr:rowOff>
                  </from>
                  <to>
                    <xdr:col>5</xdr:col>
                    <xdr:colOff>533400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Использовать _x000a_Кредит &quot;Арбитраж&quot;">
                <anchor moveWithCells="1">
                  <from>
                    <xdr:col>5</xdr:col>
                    <xdr:colOff>304800</xdr:colOff>
                    <xdr:row>17</xdr:row>
                    <xdr:rowOff>9525</xdr:rowOff>
                  </from>
                  <to>
                    <xdr:col>5</xdr:col>
                    <xdr:colOff>523875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Использовать ЗК">
                <anchor moveWithCells="1">
                  <from>
                    <xdr:col>6</xdr:col>
                    <xdr:colOff>238125</xdr:colOff>
                    <xdr:row>18</xdr:row>
                    <xdr:rowOff>19050</xdr:rowOff>
                  </from>
                  <to>
                    <xdr:col>6</xdr:col>
                    <xdr:colOff>590550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Использовать _x000a_Кредит &quot;Арбитраж&quot;">
                <anchor moveWithCells="1">
                  <from>
                    <xdr:col>6</xdr:col>
                    <xdr:colOff>238125</xdr:colOff>
                    <xdr:row>17</xdr:row>
                    <xdr:rowOff>19050</xdr:rowOff>
                  </from>
                  <to>
                    <xdr:col>6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Использовать ЗК">
                <anchor moveWithCells="1">
                  <from>
                    <xdr:col>7</xdr:col>
                    <xdr:colOff>247650</xdr:colOff>
                    <xdr:row>18</xdr:row>
                    <xdr:rowOff>19050</xdr:rowOff>
                  </from>
                  <to>
                    <xdr:col>7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Использовать _x000a_Кредит &quot;Арбитраж&quot;">
                <anchor moveWithCells="1">
                  <from>
                    <xdr:col>7</xdr:col>
                    <xdr:colOff>247650</xdr:colOff>
                    <xdr:row>17</xdr:row>
                    <xdr:rowOff>19050</xdr:rowOff>
                  </from>
                  <to>
                    <xdr:col>7</xdr:col>
                    <xdr:colOff>581025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Использовать ЗК">
                <anchor moveWithCells="1">
                  <from>
                    <xdr:col>8</xdr:col>
                    <xdr:colOff>228600</xdr:colOff>
                    <xdr:row>18</xdr:row>
                    <xdr:rowOff>9525</xdr:rowOff>
                  </from>
                  <to>
                    <xdr:col>8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Использовать _x000a_Кредит &quot;Арбитраж&quot;">
                <anchor moveWithCells="1">
                  <from>
                    <xdr:col>8</xdr:col>
                    <xdr:colOff>228600</xdr:colOff>
                    <xdr:row>17</xdr:row>
                    <xdr:rowOff>19050</xdr:rowOff>
                  </from>
                  <to>
                    <xdr:col>8</xdr:col>
                    <xdr:colOff>523875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altText="Использовать ЗК">
                <anchor moveWithCells="1">
                  <from>
                    <xdr:col>9</xdr:col>
                    <xdr:colOff>285750</xdr:colOff>
                    <xdr:row>18</xdr:row>
                    <xdr:rowOff>9525</xdr:rowOff>
                  </from>
                  <to>
                    <xdr:col>9</xdr:col>
                    <xdr:colOff>590550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Использовать _x000a_Кредит &quot;Арбитраж&quot;">
                <anchor moveWithCells="1">
                  <from>
                    <xdr:col>9</xdr:col>
                    <xdr:colOff>276225</xdr:colOff>
                    <xdr:row>17</xdr:row>
                    <xdr:rowOff>9525</xdr:rowOff>
                  </from>
                  <to>
                    <xdr:col>9</xdr:col>
                    <xdr:colOff>628650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altText="Использовать ЗК">
                <anchor moveWithCells="1">
                  <from>
                    <xdr:col>10</xdr:col>
                    <xdr:colOff>180975</xdr:colOff>
                    <xdr:row>18</xdr:row>
                    <xdr:rowOff>19050</xdr:rowOff>
                  </from>
                  <to>
                    <xdr:col>10</xdr:col>
                    <xdr:colOff>504825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altText="Использовать _x000a_Кредит &quot;Арбитраж&quot;">
                <anchor moveWithCells="1">
                  <from>
                    <xdr:col>10</xdr:col>
                    <xdr:colOff>180975</xdr:colOff>
                    <xdr:row>17</xdr:row>
                    <xdr:rowOff>9525</xdr:rowOff>
                  </from>
                  <to>
                    <xdr:col>10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 altText="Использовать ЗК">
                <anchor moveWithCells="1">
                  <from>
                    <xdr:col>11</xdr:col>
                    <xdr:colOff>219075</xdr:colOff>
                    <xdr:row>18</xdr:row>
                    <xdr:rowOff>19050</xdr:rowOff>
                  </from>
                  <to>
                    <xdr:col>11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 altText="Использовать _x000a_Кредит &quot;Арбитраж&quot;">
                <anchor moveWithCells="1">
                  <from>
                    <xdr:col>11</xdr:col>
                    <xdr:colOff>219075</xdr:colOff>
                    <xdr:row>17</xdr:row>
                    <xdr:rowOff>9525</xdr:rowOff>
                  </from>
                  <to>
                    <xdr:col>11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93"/>
  <sheetViews>
    <sheetView topLeftCell="A31" zoomScale="70" zoomScaleNormal="70" workbookViewId="0">
      <selection activeCell="B57" sqref="B57"/>
    </sheetView>
  </sheetViews>
  <sheetFormatPr defaultRowHeight="15" outlineLevelRow="1" x14ac:dyDescent="0.25"/>
  <cols>
    <col min="1" max="1" width="40.7109375" style="104" customWidth="1"/>
    <col min="2" max="2" width="8.7109375" customWidth="1"/>
    <col min="3" max="3" width="9.28515625" customWidth="1"/>
    <col min="4" max="4" width="8.7109375" customWidth="1"/>
    <col min="5" max="5" width="9.28515625" customWidth="1"/>
    <col min="6" max="6" width="17" bestFit="1" customWidth="1"/>
    <col min="7" max="7" width="5" customWidth="1"/>
  </cols>
  <sheetData>
    <row r="1" spans="1:1" hidden="1" outlineLevel="1" x14ac:dyDescent="0.25">
      <c r="A1" s="104" t="s">
        <v>38</v>
      </c>
    </row>
    <row r="2" spans="1:1" hidden="1" outlineLevel="1" x14ac:dyDescent="0.25">
      <c r="A2" s="104" t="s">
        <v>39</v>
      </c>
    </row>
    <row r="3" spans="1:1" hidden="1" outlineLevel="1" x14ac:dyDescent="0.25">
      <c r="A3" s="104" t="s">
        <v>40</v>
      </c>
    </row>
    <row r="4" spans="1:1" hidden="1" outlineLevel="1" x14ac:dyDescent="0.25">
      <c r="A4" s="104" t="s">
        <v>41</v>
      </c>
    </row>
    <row r="5" spans="1:1" hidden="1" outlineLevel="1" x14ac:dyDescent="0.25">
      <c r="A5" s="104" t="s">
        <v>42</v>
      </c>
    </row>
    <row r="6" spans="1:1" hidden="1" outlineLevel="1" x14ac:dyDescent="0.25">
      <c r="A6" s="104" t="s">
        <v>43</v>
      </c>
    </row>
    <row r="7" spans="1:1" hidden="1" outlineLevel="1" x14ac:dyDescent="0.25">
      <c r="A7" s="104" t="s">
        <v>44</v>
      </c>
    </row>
    <row r="8" spans="1:1" hidden="1" outlineLevel="1" x14ac:dyDescent="0.25">
      <c r="A8" s="104" t="s">
        <v>45</v>
      </c>
    </row>
    <row r="9" spans="1:1" hidden="1" outlineLevel="1" x14ac:dyDescent="0.25">
      <c r="A9" s="104" t="s">
        <v>43</v>
      </c>
    </row>
    <row r="10" spans="1:1" hidden="1" outlineLevel="1" x14ac:dyDescent="0.25">
      <c r="A10" s="104" t="s">
        <v>46</v>
      </c>
    </row>
    <row r="11" spans="1:1" hidden="1" outlineLevel="1" x14ac:dyDescent="0.25">
      <c r="A11" s="104" t="s">
        <v>47</v>
      </c>
    </row>
    <row r="12" spans="1:1" hidden="1" outlineLevel="1" x14ac:dyDescent="0.25">
      <c r="A12" s="104" t="s">
        <v>48</v>
      </c>
    </row>
    <row r="13" spans="1:1" hidden="1" outlineLevel="1" x14ac:dyDescent="0.25">
      <c r="A13" s="104" t="s">
        <v>43</v>
      </c>
    </row>
    <row r="14" spans="1:1" hidden="1" outlineLevel="1" x14ac:dyDescent="0.25">
      <c r="A14" s="104" t="s">
        <v>49</v>
      </c>
    </row>
    <row r="15" spans="1:1" hidden="1" outlineLevel="1" x14ac:dyDescent="0.25">
      <c r="A15" s="104" t="s">
        <v>50</v>
      </c>
    </row>
    <row r="16" spans="1:1" hidden="1" outlineLevel="1" x14ac:dyDescent="0.25">
      <c r="A16" s="104" t="s">
        <v>43</v>
      </c>
    </row>
    <row r="17" spans="1:6" hidden="1" outlineLevel="1" x14ac:dyDescent="0.25">
      <c r="A17" s="104" t="s">
        <v>51</v>
      </c>
    </row>
    <row r="18" spans="1:6" hidden="1" outlineLevel="1" x14ac:dyDescent="0.25">
      <c r="A18" s="104" t="s">
        <v>52</v>
      </c>
    </row>
    <row r="19" spans="1:6" hidden="1" outlineLevel="1" x14ac:dyDescent="0.25">
      <c r="A19" s="104" t="s">
        <v>53</v>
      </c>
    </row>
    <row r="20" spans="1:6" hidden="1" outlineLevel="1" x14ac:dyDescent="0.25">
      <c r="A20" s="104" t="s">
        <v>54</v>
      </c>
    </row>
    <row r="21" spans="1:6" hidden="1" outlineLevel="1" x14ac:dyDescent="0.25">
      <c r="A21" s="104" t="s">
        <v>55</v>
      </c>
    </row>
    <row r="22" spans="1:6" hidden="1" outlineLevel="1" x14ac:dyDescent="0.25">
      <c r="A22" s="104" t="s">
        <v>56</v>
      </c>
    </row>
    <row r="23" spans="1:6" ht="30" hidden="1" outlineLevel="1" x14ac:dyDescent="0.25">
      <c r="A23" s="104" t="s">
        <v>124</v>
      </c>
    </row>
    <row r="24" spans="1:6" hidden="1" outlineLevel="1" x14ac:dyDescent="0.25">
      <c r="A24" s="104" t="s">
        <v>39</v>
      </c>
    </row>
    <row r="25" spans="1:6" hidden="1" outlineLevel="1" x14ac:dyDescent="0.25">
      <c r="A25" s="104" t="s">
        <v>57</v>
      </c>
    </row>
    <row r="26" spans="1:6" hidden="1" outlineLevel="1" x14ac:dyDescent="0.25">
      <c r="A26" s="104" t="s">
        <v>58</v>
      </c>
    </row>
    <row r="27" spans="1:6" hidden="1" outlineLevel="1" x14ac:dyDescent="0.25">
      <c r="A27" s="104" t="s">
        <v>59</v>
      </c>
    </row>
    <row r="28" spans="1:6" ht="195" hidden="1" outlineLevel="1" x14ac:dyDescent="0.25">
      <c r="A28" s="104" t="s">
        <v>60</v>
      </c>
    </row>
    <row r="29" spans="1:6" hidden="1" outlineLevel="1" x14ac:dyDescent="0.25">
      <c r="A29" s="104" t="s">
        <v>61</v>
      </c>
    </row>
    <row r="30" spans="1:6" hidden="1" outlineLevel="1" x14ac:dyDescent="0.25">
      <c r="A30" s="104" t="s">
        <v>62</v>
      </c>
    </row>
    <row r="31" spans="1:6" s="25" customFormat="1" collapsed="1" x14ac:dyDescent="0.25">
      <c r="A31" s="105" t="s">
        <v>63</v>
      </c>
      <c r="B31" s="25" t="s">
        <v>64</v>
      </c>
      <c r="C31" s="25" t="s">
        <v>64</v>
      </c>
      <c r="D31" s="25" t="s">
        <v>67</v>
      </c>
      <c r="E31" s="25" t="s">
        <v>67</v>
      </c>
      <c r="F31" s="25" t="s">
        <v>68</v>
      </c>
    </row>
    <row r="32" spans="1:6" x14ac:dyDescent="0.25">
      <c r="B32" t="s">
        <v>65</v>
      </c>
      <c r="C32" t="s">
        <v>66</v>
      </c>
      <c r="D32" t="s">
        <v>65</v>
      </c>
      <c r="E32" t="s">
        <v>66</v>
      </c>
    </row>
    <row r="33" spans="1:6" x14ac:dyDescent="0.25">
      <c r="A33" s="104" t="s">
        <v>72</v>
      </c>
      <c r="B33" s="106">
        <v>48.1</v>
      </c>
      <c r="C33" s="106">
        <v>54.1</v>
      </c>
      <c r="D33" s="106">
        <v>54.2</v>
      </c>
      <c r="E33" s="106">
        <v>60.2</v>
      </c>
      <c r="F33" s="107">
        <v>42136.573611111111</v>
      </c>
    </row>
    <row r="34" spans="1:6" x14ac:dyDescent="0.25">
      <c r="A34" s="104">
        <v>24</v>
      </c>
      <c r="B34" s="106"/>
      <c r="C34" s="106"/>
      <c r="D34" s="106"/>
      <c r="E34" s="106"/>
      <c r="F34" s="107"/>
    </row>
    <row r="35" spans="1:6" x14ac:dyDescent="0.25">
      <c r="A35" s="104" t="s">
        <v>76</v>
      </c>
      <c r="B35" s="106">
        <v>50.5</v>
      </c>
      <c r="C35" s="106">
        <v>52</v>
      </c>
      <c r="D35" s="106">
        <v>56</v>
      </c>
      <c r="E35" s="106">
        <v>57.9</v>
      </c>
      <c r="F35" s="107">
        <v>42136.57916666667</v>
      </c>
    </row>
    <row r="36" spans="1:6" x14ac:dyDescent="0.25">
      <c r="A36" s="104">
        <v>140</v>
      </c>
      <c r="B36" s="106"/>
      <c r="C36" s="106"/>
      <c r="D36" s="106"/>
      <c r="E36" s="106"/>
      <c r="F36" s="107"/>
    </row>
    <row r="37" spans="1:6" x14ac:dyDescent="0.25">
      <c r="A37" s="104" t="s">
        <v>88</v>
      </c>
      <c r="B37" s="106">
        <v>49.75</v>
      </c>
      <c r="C37" s="106">
        <v>51.75</v>
      </c>
      <c r="D37" s="106">
        <v>56</v>
      </c>
      <c r="E37" s="106">
        <v>58</v>
      </c>
      <c r="F37" s="107">
        <v>42136.594444444447</v>
      </c>
    </row>
    <row r="38" spans="1:6" x14ac:dyDescent="0.25">
      <c r="A38" s="104" t="s">
        <v>78</v>
      </c>
      <c r="B38" s="106">
        <v>50.57</v>
      </c>
      <c r="C38" s="106">
        <v>52.5</v>
      </c>
      <c r="D38" s="106">
        <v>56.57</v>
      </c>
      <c r="E38" s="106">
        <v>59</v>
      </c>
      <c r="F38" s="107">
        <v>42136.626388888886</v>
      </c>
    </row>
    <row r="39" spans="1:6" x14ac:dyDescent="0.25">
      <c r="A39" s="104">
        <v>561</v>
      </c>
      <c r="B39" s="106"/>
      <c r="C39" s="106"/>
      <c r="D39" s="106"/>
      <c r="E39" s="106"/>
      <c r="F39" s="107"/>
    </row>
    <row r="40" spans="1:6" x14ac:dyDescent="0.25">
      <c r="A40" s="104" t="s">
        <v>79</v>
      </c>
      <c r="B40" s="106">
        <v>47.91</v>
      </c>
      <c r="C40" s="106">
        <v>52.59</v>
      </c>
      <c r="D40" s="106">
        <v>53.87</v>
      </c>
      <c r="E40" s="106">
        <v>58.64</v>
      </c>
      <c r="F40" s="107">
        <v>42136.344444444447</v>
      </c>
    </row>
    <row r="41" spans="1:6" x14ac:dyDescent="0.25">
      <c r="A41" s="104">
        <v>820</v>
      </c>
      <c r="B41" s="106"/>
      <c r="C41" s="106"/>
      <c r="D41" s="106"/>
      <c r="E41" s="106"/>
      <c r="F41" s="107"/>
    </row>
    <row r="42" spans="1:6" x14ac:dyDescent="0.25">
      <c r="A42" s="104" t="s">
        <v>86</v>
      </c>
      <c r="B42" s="106">
        <v>50.2</v>
      </c>
      <c r="C42" s="106">
        <v>51.9</v>
      </c>
      <c r="D42" s="106">
        <v>56.25</v>
      </c>
      <c r="E42" s="106">
        <v>58.25</v>
      </c>
      <c r="F42" s="107">
        <v>42136.626388888886</v>
      </c>
    </row>
    <row r="43" spans="1:6" x14ac:dyDescent="0.25">
      <c r="A43" s="104">
        <v>765</v>
      </c>
      <c r="B43" s="106"/>
      <c r="C43" s="106"/>
      <c r="D43" s="106"/>
      <c r="E43" s="106"/>
      <c r="F43" s="107"/>
    </row>
    <row r="44" spans="1:6" x14ac:dyDescent="0.25">
      <c r="A44" s="104" t="s">
        <v>81</v>
      </c>
      <c r="B44" s="106">
        <v>49.5</v>
      </c>
      <c r="C44" s="106">
        <v>51.5</v>
      </c>
      <c r="D44" s="106">
        <v>55.3</v>
      </c>
      <c r="E44" s="106">
        <v>58.2</v>
      </c>
      <c r="F44" s="107">
        <v>42136.646527777775</v>
      </c>
    </row>
    <row r="45" spans="1:6" x14ac:dyDescent="0.25">
      <c r="A45" s="104">
        <v>44</v>
      </c>
      <c r="B45" s="106"/>
      <c r="C45" s="106"/>
      <c r="D45" s="106"/>
      <c r="E45" s="106"/>
      <c r="F45" s="107"/>
    </row>
    <row r="46" spans="1:6" x14ac:dyDescent="0.25">
      <c r="A46" s="104" t="s">
        <v>74</v>
      </c>
      <c r="B46" s="106">
        <v>50.3</v>
      </c>
      <c r="C46" s="106">
        <v>51.09</v>
      </c>
      <c r="D46" s="106">
        <v>56.6</v>
      </c>
      <c r="E46" s="106">
        <v>57.39</v>
      </c>
      <c r="F46" s="107">
        <v>42136.698611111111</v>
      </c>
    </row>
    <row r="47" spans="1:6" x14ac:dyDescent="0.25">
      <c r="A47" s="104">
        <v>14</v>
      </c>
      <c r="B47" s="106"/>
      <c r="C47" s="106"/>
      <c r="D47" s="106"/>
      <c r="E47" s="106"/>
      <c r="F47" s="107"/>
    </row>
    <row r="48" spans="1:6" x14ac:dyDescent="0.25">
      <c r="A48" s="104" t="s">
        <v>70</v>
      </c>
      <c r="B48" s="106">
        <v>50.15</v>
      </c>
      <c r="C48" s="106">
        <v>51.65</v>
      </c>
      <c r="D48" s="106">
        <v>56.6</v>
      </c>
      <c r="E48" s="106">
        <v>57.5</v>
      </c>
      <c r="F48" s="107">
        <v>42136.709722222222</v>
      </c>
    </row>
    <row r="49" spans="1:6" x14ac:dyDescent="0.25">
      <c r="A49" s="104" t="s">
        <v>83</v>
      </c>
      <c r="B49" s="106">
        <v>49.82</v>
      </c>
      <c r="C49" s="106">
        <v>51.98</v>
      </c>
      <c r="D49" s="106">
        <v>55.39</v>
      </c>
      <c r="E49" s="106">
        <v>57.85</v>
      </c>
      <c r="F49" s="107">
        <v>42136.396527777775</v>
      </c>
    </row>
    <row r="50" spans="1:6" x14ac:dyDescent="0.25">
      <c r="A50" s="104">
        <v>383</v>
      </c>
      <c r="B50" s="106"/>
      <c r="C50" s="106"/>
      <c r="D50" s="106"/>
      <c r="E50" s="106"/>
      <c r="F50" s="107"/>
    </row>
    <row r="51" spans="1:6" x14ac:dyDescent="0.25">
      <c r="A51" s="104" t="s">
        <v>84</v>
      </c>
      <c r="B51" s="106">
        <v>50.01</v>
      </c>
      <c r="C51" s="106">
        <v>51.34</v>
      </c>
      <c r="D51" s="106">
        <v>56.16</v>
      </c>
      <c r="E51" s="106">
        <v>57.49</v>
      </c>
      <c r="F51" s="107">
        <v>42136.719444444447</v>
      </c>
    </row>
    <row r="52" spans="1:6" x14ac:dyDescent="0.25">
      <c r="A52" s="104">
        <v>114</v>
      </c>
      <c r="B52" s="106"/>
      <c r="C52" s="106"/>
      <c r="D52" s="106"/>
      <c r="E52" s="106"/>
      <c r="F52" s="107"/>
    </row>
    <row r="53" spans="1:6" x14ac:dyDescent="0.25">
      <c r="A53" s="104" t="s">
        <v>85</v>
      </c>
      <c r="B53" s="106">
        <v>49</v>
      </c>
      <c r="C53" s="106">
        <v>53</v>
      </c>
      <c r="D53" s="106">
        <v>55</v>
      </c>
      <c r="E53" s="106">
        <v>59</v>
      </c>
      <c r="F53" s="107">
        <v>42135.427777777775</v>
      </c>
    </row>
    <row r="54" spans="1:6" x14ac:dyDescent="0.25">
      <c r="A54" s="104">
        <v>413</v>
      </c>
      <c r="B54" s="106"/>
      <c r="C54" s="106"/>
      <c r="D54" s="106"/>
      <c r="E54" s="106"/>
      <c r="F54" s="107"/>
    </row>
    <row r="55" spans="1:6" x14ac:dyDescent="0.25">
      <c r="A55" s="104" t="s">
        <v>80</v>
      </c>
      <c r="B55" s="106">
        <v>50</v>
      </c>
      <c r="C55" s="106">
        <v>51.2</v>
      </c>
      <c r="D55" s="106">
        <v>56</v>
      </c>
      <c r="E55" s="106">
        <v>57.5</v>
      </c>
      <c r="F55" s="107">
        <v>42136.729861111111</v>
      </c>
    </row>
    <row r="56" spans="1:6" x14ac:dyDescent="0.25">
      <c r="A56" s="104">
        <v>487</v>
      </c>
      <c r="B56" s="106"/>
      <c r="C56" s="106"/>
      <c r="D56" s="106"/>
      <c r="E56" s="106"/>
      <c r="F56" s="107"/>
    </row>
    <row r="57" spans="1:6" x14ac:dyDescent="0.25">
      <c r="A57" s="104" t="s">
        <v>69</v>
      </c>
      <c r="B57" s="106">
        <v>47.55</v>
      </c>
      <c r="C57" s="106">
        <v>53.55</v>
      </c>
      <c r="D57" s="106">
        <v>53.87</v>
      </c>
      <c r="E57" s="106">
        <v>59.88</v>
      </c>
      <c r="F57" s="107">
        <v>42136.743055555555</v>
      </c>
    </row>
    <row r="58" spans="1:6" x14ac:dyDescent="0.25">
      <c r="A58" s="104">
        <v>498</v>
      </c>
      <c r="B58" s="106"/>
      <c r="C58" s="106"/>
      <c r="D58" s="106"/>
      <c r="E58" s="106"/>
      <c r="F58" s="107"/>
    </row>
    <row r="59" spans="1:6" x14ac:dyDescent="0.25">
      <c r="A59" s="104" t="s">
        <v>87</v>
      </c>
      <c r="B59" s="106">
        <v>49</v>
      </c>
      <c r="C59" s="106">
        <v>53</v>
      </c>
      <c r="D59" s="106">
        <v>55.7</v>
      </c>
      <c r="E59" s="106">
        <v>59.3</v>
      </c>
      <c r="F59" s="107">
        <v>42135.427777777775</v>
      </c>
    </row>
    <row r="60" spans="1:6" x14ac:dyDescent="0.25">
      <c r="A60" s="104">
        <v>150</v>
      </c>
      <c r="B60" s="106"/>
      <c r="C60" s="106"/>
      <c r="D60" s="106"/>
      <c r="E60" s="106"/>
      <c r="F60" s="107"/>
    </row>
    <row r="61" spans="1:6" x14ac:dyDescent="0.25">
      <c r="A61" s="104" t="s">
        <v>75</v>
      </c>
      <c r="B61" s="106">
        <v>50.2</v>
      </c>
      <c r="C61" s="106">
        <v>51.2</v>
      </c>
      <c r="D61" s="106">
        <v>56.6</v>
      </c>
      <c r="E61" s="106">
        <v>57.6</v>
      </c>
      <c r="F61" s="107">
        <v>42136.750694444447</v>
      </c>
    </row>
    <row r="62" spans="1:6" x14ac:dyDescent="0.25">
      <c r="A62" s="108" t="s">
        <v>77</v>
      </c>
      <c r="B62" s="109">
        <v>49.35</v>
      </c>
      <c r="C62" s="106">
        <v>52.05</v>
      </c>
      <c r="D62" s="106">
        <v>55.31</v>
      </c>
      <c r="E62" s="106">
        <v>58.51</v>
      </c>
      <c r="F62" s="107">
        <v>42136.771527777775</v>
      </c>
    </row>
    <row r="63" spans="1:6" x14ac:dyDescent="0.25">
      <c r="A63" s="108">
        <v>56</v>
      </c>
      <c r="B63" s="109"/>
      <c r="C63" s="106"/>
      <c r="D63" s="106"/>
      <c r="E63" s="106"/>
      <c r="F63" s="107"/>
    </row>
    <row r="64" spans="1:6" x14ac:dyDescent="0.25">
      <c r="A64" s="104" t="s">
        <v>82</v>
      </c>
      <c r="B64" s="106">
        <v>48.65</v>
      </c>
      <c r="C64" s="106">
        <v>52.7</v>
      </c>
      <c r="D64" s="106">
        <v>54.65</v>
      </c>
      <c r="E64" s="106">
        <v>59.25</v>
      </c>
      <c r="F64" s="107">
        <v>42136.803472222222</v>
      </c>
    </row>
    <row r="65" spans="1:6" x14ac:dyDescent="0.25">
      <c r="A65" s="104">
        <v>786</v>
      </c>
      <c r="B65" s="106"/>
      <c r="C65" s="106"/>
      <c r="D65" s="106"/>
      <c r="E65" s="106"/>
      <c r="F65" s="107"/>
    </row>
    <row r="66" spans="1:6" x14ac:dyDescent="0.25">
      <c r="A66" s="104" t="s">
        <v>73</v>
      </c>
      <c r="B66" s="106">
        <v>48.8</v>
      </c>
      <c r="C66" s="106">
        <v>52.1</v>
      </c>
      <c r="D66" s="106">
        <v>55.98</v>
      </c>
      <c r="E66" s="106">
        <v>59</v>
      </c>
      <c r="F66" s="107">
        <v>42132.677777777775</v>
      </c>
    </row>
    <row r="67" spans="1:6" x14ac:dyDescent="0.25">
      <c r="A67" s="104">
        <v>499</v>
      </c>
      <c r="B67" s="106"/>
      <c r="C67" s="106"/>
      <c r="D67" s="106"/>
      <c r="E67" s="106"/>
      <c r="F67" s="107"/>
    </row>
    <row r="68" spans="1:6" x14ac:dyDescent="0.25">
      <c r="A68" s="104" t="s">
        <v>89</v>
      </c>
      <c r="B68" s="106">
        <v>47.6</v>
      </c>
      <c r="C68" s="106">
        <v>53.6</v>
      </c>
      <c r="D68" s="106">
        <v>54.4</v>
      </c>
      <c r="E68" s="106">
        <v>60.4</v>
      </c>
      <c r="F68" s="107">
        <v>42132.381249999999</v>
      </c>
    </row>
    <row r="69" spans="1:6" x14ac:dyDescent="0.25">
      <c r="A69" s="104">
        <v>640</v>
      </c>
      <c r="F69" s="107"/>
    </row>
    <row r="70" spans="1:6" x14ac:dyDescent="0.25">
      <c r="A70" s="104" t="s">
        <v>90</v>
      </c>
      <c r="B70">
        <v>48.5</v>
      </c>
      <c r="C70">
        <v>54.92</v>
      </c>
      <c r="D70">
        <v>54</v>
      </c>
      <c r="E70">
        <v>60.52</v>
      </c>
      <c r="F70" s="107">
        <v>42124.834027777775</v>
      </c>
    </row>
    <row r="71" spans="1:6" x14ac:dyDescent="0.25">
      <c r="A71" s="104">
        <v>406</v>
      </c>
      <c r="F71" s="107"/>
    </row>
    <row r="72" spans="1:6" x14ac:dyDescent="0.25">
      <c r="A72" s="104" t="s">
        <v>71</v>
      </c>
      <c r="B72">
        <v>48.75</v>
      </c>
      <c r="C72">
        <v>52.75</v>
      </c>
      <c r="D72">
        <v>55</v>
      </c>
      <c r="E72">
        <v>59</v>
      </c>
      <c r="F72" s="107">
        <v>42133.021527777775</v>
      </c>
    </row>
    <row r="73" spans="1:6" x14ac:dyDescent="0.25">
      <c r="A73" s="104">
        <v>246</v>
      </c>
      <c r="B73" s="110"/>
      <c r="F73" s="107"/>
    </row>
    <row r="74" spans="1:6" x14ac:dyDescent="0.25">
      <c r="A74" s="104" t="s">
        <v>91</v>
      </c>
      <c r="B74" s="110"/>
      <c r="E74" s="111"/>
      <c r="F74" s="107"/>
    </row>
    <row r="75" spans="1:6" ht="45" x14ac:dyDescent="0.25">
      <c r="A75" s="104" t="s">
        <v>92</v>
      </c>
      <c r="B75" s="110"/>
      <c r="F75" s="107"/>
    </row>
    <row r="76" spans="1:6" x14ac:dyDescent="0.25">
      <c r="F76" s="107"/>
    </row>
    <row r="77" spans="1:6" x14ac:dyDescent="0.25">
      <c r="A77" s="104" t="s">
        <v>93</v>
      </c>
      <c r="B77" s="110"/>
    </row>
    <row r="78" spans="1:6" x14ac:dyDescent="0.25">
      <c r="B78" s="113">
        <v>42136</v>
      </c>
      <c r="D78" s="111">
        <v>42137</v>
      </c>
    </row>
    <row r="79" spans="1:6" x14ac:dyDescent="0.25">
      <c r="A79" s="104" t="s">
        <v>7</v>
      </c>
      <c r="B79" s="110" t="s">
        <v>112</v>
      </c>
      <c r="C79" t="s">
        <v>125</v>
      </c>
      <c r="D79" t="s">
        <v>126</v>
      </c>
    </row>
    <row r="80" spans="1:6" x14ac:dyDescent="0.25">
      <c r="A80" s="104" t="s">
        <v>94</v>
      </c>
      <c r="B80" s="111" t="s">
        <v>113</v>
      </c>
      <c r="C80" t="s">
        <v>127</v>
      </c>
      <c r="D80" s="111" t="s">
        <v>128</v>
      </c>
    </row>
    <row r="81" spans="1:4" x14ac:dyDescent="0.25">
      <c r="A81" s="104" t="s">
        <v>95</v>
      </c>
      <c r="B81" s="111" t="s">
        <v>114</v>
      </c>
      <c r="C81" t="s">
        <v>129</v>
      </c>
      <c r="D81" s="111" t="s">
        <v>130</v>
      </c>
    </row>
    <row r="82" spans="1:4" x14ac:dyDescent="0.25">
      <c r="A82" s="104" t="s">
        <v>96</v>
      </c>
      <c r="B82" s="111" t="s">
        <v>115</v>
      </c>
      <c r="C82" t="s">
        <v>131</v>
      </c>
      <c r="D82" s="111" t="s">
        <v>132</v>
      </c>
    </row>
    <row r="83" spans="1:4" x14ac:dyDescent="0.25">
      <c r="A83" s="104" t="s">
        <v>97</v>
      </c>
      <c r="B83" s="110" t="s">
        <v>116</v>
      </c>
      <c r="C83" t="s">
        <v>133</v>
      </c>
      <c r="D83" t="s">
        <v>134</v>
      </c>
    </row>
    <row r="84" spans="1:4" x14ac:dyDescent="0.25">
      <c r="A84" s="104" t="s">
        <v>98</v>
      </c>
      <c r="B84" s="110" t="s">
        <v>117</v>
      </c>
      <c r="C84" t="s">
        <v>135</v>
      </c>
      <c r="D84" t="s">
        <v>136</v>
      </c>
    </row>
    <row r="85" spans="1:4" x14ac:dyDescent="0.25">
      <c r="A85" s="104" t="s">
        <v>99</v>
      </c>
      <c r="B85" s="112" t="s">
        <v>118</v>
      </c>
      <c r="C85" t="s">
        <v>137</v>
      </c>
      <c r="D85" s="112" t="s">
        <v>138</v>
      </c>
    </row>
    <row r="86" spans="1:4" x14ac:dyDescent="0.25">
      <c r="A86" s="104" t="s">
        <v>100</v>
      </c>
      <c r="B86" s="110"/>
    </row>
    <row r="87" spans="1:4" x14ac:dyDescent="0.25">
      <c r="A87" s="104" t="s">
        <v>101</v>
      </c>
      <c r="B87" s="110"/>
    </row>
    <row r="88" spans="1:4" x14ac:dyDescent="0.25">
      <c r="A88" s="104" t="s">
        <v>102</v>
      </c>
      <c r="B88" s="110"/>
    </row>
    <row r="89" spans="1:4" x14ac:dyDescent="0.25">
      <c r="A89" s="104" t="s">
        <v>103</v>
      </c>
      <c r="B89" s="110"/>
    </row>
    <row r="90" spans="1:4" x14ac:dyDescent="0.25">
      <c r="A90" s="104" t="s">
        <v>104</v>
      </c>
      <c r="B90" s="110"/>
    </row>
    <row r="91" spans="1:4" x14ac:dyDescent="0.25">
      <c r="A91" s="104" t="s">
        <v>105</v>
      </c>
      <c r="B91" s="110"/>
    </row>
    <row r="92" spans="1:4" x14ac:dyDescent="0.25">
      <c r="A92" s="104" t="s">
        <v>106</v>
      </c>
      <c r="B92" s="110"/>
    </row>
    <row r="93" spans="1:4" x14ac:dyDescent="0.25">
      <c r="A93" s="104" t="s">
        <v>107</v>
      </c>
      <c r="B93" s="110"/>
    </row>
  </sheetData>
  <conditionalFormatting sqref="B33:B72">
    <cfRule type="colorScale" priority="2">
      <colorScale>
        <cfvo type="min"/>
        <cfvo type="percentile" val="90"/>
        <cfvo type="max"/>
        <color theme="5" tint="0.79998168889431442"/>
        <color theme="7" tint="0.79998168889431442"/>
        <color theme="9"/>
      </colorScale>
    </cfRule>
  </conditionalFormatting>
  <conditionalFormatting sqref="C33:C72">
    <cfRule type="colorScale" priority="1">
      <colorScale>
        <cfvo type="min"/>
        <cfvo type="percentile" val="10"/>
        <cfvo type="max"/>
        <color theme="9"/>
        <color theme="7" tint="0.79998168889431442"/>
        <color theme="5" tint="0.79998168889431442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cost_model_WT</vt:lpstr>
      <vt:lpstr>курсы</vt:lpstr>
      <vt:lpstr>курсы!D0_9E_D0_BC_D1_81_D0_BA</vt:lpstr>
      <vt:lpstr>cost_model_WT!Область_печати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2015-05-06T11:38:05Z</dcterms:created>
  <dcterms:modified xsi:type="dcterms:W3CDTF">2015-05-12T13:59:18Z</dcterms:modified>
</cp:coreProperties>
</file>